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urrent_projects\common-allergies\"/>
    </mc:Choice>
  </mc:AlternateContent>
  <bookViews>
    <workbookView xWindow="0" yWindow="0" windowWidth="28800" windowHeight="13635" tabRatio="696"/>
  </bookViews>
  <sheets>
    <sheet name="Intro" sheetId="11" r:id="rId1"/>
    <sheet name="Negations" sheetId="1" r:id="rId2"/>
    <sheet name="Freetext" sheetId="10" r:id="rId3"/>
    <sheet name="Procedure Flags" sheetId="6" r:id="rId4"/>
    <sheet name="Med Classes" sheetId="2" r:id="rId5"/>
    <sheet name="Med Ingredients" sheetId="3" r:id="rId6"/>
    <sheet name="Foods" sheetId="4" r:id="rId7"/>
    <sheet name="Vaccines" sheetId="7" r:id="rId8"/>
    <sheet name="Environment" sheetId="5" r:id="rId9"/>
  </sheets>
  <definedNames>
    <definedName name="_xlnm._FilterDatabase" localSheetId="8" hidden="1">Environment!$A$9:$M$9</definedName>
    <definedName name="_xlnm._FilterDatabase" localSheetId="6" hidden="1">Foods!$A$11:$K$11</definedName>
    <definedName name="_xlnm._FilterDatabase" localSheetId="2" hidden="1">Freetext!$A$9:$K$9</definedName>
    <definedName name="_xlnm._FilterDatabase" localSheetId="4" hidden="1">'Med Classes'!$A$12:$N$12</definedName>
    <definedName name="_xlnm._FilterDatabase" localSheetId="5" hidden="1">'Med Ingredients'!$A$15:$U$164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3" l="1"/>
  <c r="D13" i="2" l="1"/>
  <c r="D11" i="6"/>
  <c r="D11" i="1"/>
  <c r="I19" i="3"/>
  <c r="D129" i="3"/>
  <c r="E42" i="3"/>
  <c r="D113" i="3"/>
  <c r="D86" i="3"/>
  <c r="D120" i="3"/>
  <c r="D106" i="3"/>
  <c r="D122" i="3"/>
  <c r="D96" i="3"/>
  <c r="D100" i="3"/>
  <c r="D102" i="3"/>
  <c r="D146" i="3"/>
  <c r="J146" i="3" s="1"/>
  <c r="K146" i="3" s="1"/>
  <c r="D175" i="3"/>
  <c r="J175" i="3" s="1"/>
  <c r="K175" i="3" s="1"/>
  <c r="D109" i="3"/>
  <c r="D27" i="3"/>
  <c r="D105" i="3"/>
  <c r="D121" i="3"/>
  <c r="D85" i="3"/>
  <c r="D94" i="3"/>
  <c r="D91" i="3"/>
  <c r="D119" i="3"/>
  <c r="D82" i="3"/>
  <c r="D98" i="3"/>
  <c r="D107" i="3"/>
  <c r="D80" i="3"/>
  <c r="D101" i="3"/>
  <c r="D124" i="3"/>
  <c r="D81" i="3"/>
  <c r="D78" i="3"/>
  <c r="D76" i="3"/>
  <c r="D83" i="3"/>
  <c r="D75" i="3"/>
  <c r="D97" i="3"/>
  <c r="D99" i="3"/>
  <c r="D70" i="3"/>
  <c r="D90" i="3"/>
  <c r="D77" i="3"/>
  <c r="D95" i="3"/>
  <c r="J220" i="3"/>
  <c r="K220" i="3" s="1"/>
  <c r="J235" i="3"/>
  <c r="K235" i="3" s="1"/>
  <c r="J236" i="3"/>
  <c r="K236" i="3" s="1"/>
  <c r="F16" i="3"/>
  <c r="F20" i="3"/>
  <c r="F17" i="3"/>
  <c r="F23" i="3"/>
  <c r="F57" i="3"/>
  <c r="J211" i="3"/>
  <c r="K211" i="3" s="1"/>
  <c r="J143" i="3"/>
  <c r="K143" i="3" s="1"/>
  <c r="J181" i="3"/>
  <c r="K181" i="3" s="1"/>
  <c r="F69" i="3"/>
  <c r="J69" i="3" s="1"/>
  <c r="K69" i="3" s="1"/>
  <c r="F60" i="3"/>
  <c r="F61" i="3"/>
  <c r="F31" i="3"/>
  <c r="J111" i="3"/>
  <c r="K111" i="3" s="1"/>
  <c r="D88" i="3"/>
  <c r="G23" i="3"/>
  <c r="E37" i="3"/>
  <c r="E26" i="3"/>
  <c r="E52" i="3"/>
  <c r="E17" i="3"/>
  <c r="E29" i="3"/>
  <c r="D29" i="3"/>
  <c r="D24" i="11"/>
  <c r="C24" i="11"/>
  <c r="D23" i="11"/>
  <c r="C23" i="11"/>
  <c r="D22" i="11"/>
  <c r="C22" i="11"/>
  <c r="C20" i="11"/>
  <c r="D18" i="11"/>
  <c r="C18" i="11"/>
  <c r="C17" i="11"/>
  <c r="D89" i="3"/>
  <c r="D67" i="3"/>
  <c r="D79" i="3"/>
  <c r="D72" i="3"/>
  <c r="D68" i="3"/>
  <c r="D74" i="3"/>
  <c r="D43" i="3"/>
  <c r="D50" i="3"/>
  <c r="D84" i="3"/>
  <c r="D73" i="3"/>
  <c r="D110" i="3"/>
  <c r="D62" i="3"/>
  <c r="J149" i="3"/>
  <c r="K149" i="3" s="1"/>
  <c r="J173" i="3"/>
  <c r="K173" i="3" s="1"/>
  <c r="J174" i="3"/>
  <c r="K174" i="3" s="1"/>
  <c r="J176" i="3"/>
  <c r="K176" i="3" s="1"/>
  <c r="J177" i="3"/>
  <c r="K177" i="3" s="1"/>
  <c r="J178" i="3"/>
  <c r="K178" i="3" s="1"/>
  <c r="J179" i="3"/>
  <c r="K179" i="3" s="1"/>
  <c r="J180" i="3"/>
  <c r="K180" i="3" s="1"/>
  <c r="J182" i="3"/>
  <c r="K182" i="3" s="1"/>
  <c r="J183" i="3"/>
  <c r="K183" i="3" s="1"/>
  <c r="J184" i="3"/>
  <c r="K184" i="3" s="1"/>
  <c r="J185" i="3"/>
  <c r="K185" i="3" s="1"/>
  <c r="J186" i="3"/>
  <c r="K186" i="3" s="1"/>
  <c r="J187" i="3"/>
  <c r="K187" i="3" s="1"/>
  <c r="J188" i="3"/>
  <c r="K188" i="3" s="1"/>
  <c r="J189" i="3"/>
  <c r="K189" i="3" s="1"/>
  <c r="J190" i="3"/>
  <c r="K190" i="3" s="1"/>
  <c r="J191" i="3"/>
  <c r="K191" i="3" s="1"/>
  <c r="J192" i="3"/>
  <c r="K192" i="3" s="1"/>
  <c r="J193" i="3"/>
  <c r="K193" i="3" s="1"/>
  <c r="J194" i="3"/>
  <c r="K194" i="3" s="1"/>
  <c r="J195" i="3"/>
  <c r="K195" i="3" s="1"/>
  <c r="J196" i="3"/>
  <c r="K196" i="3" s="1"/>
  <c r="J197" i="3"/>
  <c r="K197" i="3" s="1"/>
  <c r="J198" i="3"/>
  <c r="K198" i="3" s="1"/>
  <c r="J199" i="3"/>
  <c r="K199" i="3" s="1"/>
  <c r="J200" i="3"/>
  <c r="K200" i="3" s="1"/>
  <c r="J201" i="3"/>
  <c r="K201" i="3" s="1"/>
  <c r="J202" i="3"/>
  <c r="K202" i="3" s="1"/>
  <c r="J203" i="3"/>
  <c r="K203" i="3" s="1"/>
  <c r="J204" i="3"/>
  <c r="K204" i="3" s="1"/>
  <c r="J205" i="3"/>
  <c r="K205" i="3" s="1"/>
  <c r="J206" i="3"/>
  <c r="K206" i="3" s="1"/>
  <c r="J207" i="3"/>
  <c r="K207" i="3" s="1"/>
  <c r="J208" i="3"/>
  <c r="K208" i="3" s="1"/>
  <c r="J209" i="3"/>
  <c r="K209" i="3" s="1"/>
  <c r="J210" i="3"/>
  <c r="K210" i="3" s="1"/>
  <c r="J212" i="3"/>
  <c r="K212" i="3" s="1"/>
  <c r="J213" i="3"/>
  <c r="K213" i="3" s="1"/>
  <c r="J214" i="3"/>
  <c r="K214" i="3" s="1"/>
  <c r="J215" i="3"/>
  <c r="K215" i="3" s="1"/>
  <c r="J216" i="3"/>
  <c r="K216" i="3" s="1"/>
  <c r="J217" i="3"/>
  <c r="K217" i="3" s="1"/>
  <c r="J218" i="3"/>
  <c r="K218" i="3" s="1"/>
  <c r="J219" i="3"/>
  <c r="K219" i="3" s="1"/>
  <c r="J221" i="3"/>
  <c r="K221" i="3" s="1"/>
  <c r="J222" i="3"/>
  <c r="K222" i="3" s="1"/>
  <c r="J223" i="3"/>
  <c r="K223" i="3" s="1"/>
  <c r="J224" i="3"/>
  <c r="K224" i="3" s="1"/>
  <c r="J225" i="3"/>
  <c r="K225" i="3" s="1"/>
  <c r="J226" i="3"/>
  <c r="K226" i="3" s="1"/>
  <c r="J227" i="3"/>
  <c r="K227" i="3" s="1"/>
  <c r="J228" i="3"/>
  <c r="K228" i="3" s="1"/>
  <c r="J229" i="3"/>
  <c r="K229" i="3" s="1"/>
  <c r="J230" i="3"/>
  <c r="K230" i="3" s="1"/>
  <c r="J231" i="3"/>
  <c r="K231" i="3" s="1"/>
  <c r="J232" i="3"/>
  <c r="K232" i="3" s="1"/>
  <c r="J233" i="3"/>
  <c r="K233" i="3" s="1"/>
  <c r="J234" i="3"/>
  <c r="K234" i="3" s="1"/>
  <c r="J237" i="3"/>
  <c r="K237" i="3" s="1"/>
  <c r="J238" i="3"/>
  <c r="K238" i="3" s="1"/>
  <c r="J239" i="3"/>
  <c r="K239" i="3" s="1"/>
  <c r="J240" i="3"/>
  <c r="K240" i="3" s="1"/>
  <c r="J241" i="3"/>
  <c r="K241" i="3" s="1"/>
  <c r="J242" i="3"/>
  <c r="K242" i="3" s="1"/>
  <c r="J243" i="3"/>
  <c r="K243" i="3" s="1"/>
  <c r="J244" i="3"/>
  <c r="K244" i="3" s="1"/>
  <c r="J245" i="3"/>
  <c r="K245" i="3" s="1"/>
  <c r="J246" i="3"/>
  <c r="K246" i="3" s="1"/>
  <c r="J247" i="3"/>
  <c r="K247" i="3" s="1"/>
  <c r="J248" i="3"/>
  <c r="K248" i="3" s="1"/>
  <c r="J249" i="3"/>
  <c r="K249" i="3" s="1"/>
  <c r="J250" i="3"/>
  <c r="K250" i="3" s="1"/>
  <c r="J251" i="3"/>
  <c r="K251" i="3" s="1"/>
  <c r="D71" i="3"/>
  <c r="D63" i="3"/>
  <c r="D64" i="3"/>
  <c r="D66" i="3"/>
  <c r="D65" i="3"/>
  <c r="F32" i="3"/>
  <c r="D24" i="5" l="1"/>
  <c r="E20" i="5"/>
  <c r="E19" i="5"/>
  <c r="E18" i="5"/>
  <c r="D18" i="5"/>
  <c r="E17" i="5"/>
  <c r="D17" i="5"/>
  <c r="E16" i="5"/>
  <c r="D16" i="5"/>
  <c r="E15" i="5"/>
  <c r="D15" i="5"/>
  <c r="E14" i="5"/>
  <c r="D14" i="5"/>
  <c r="E13" i="5"/>
  <c r="D13" i="5"/>
  <c r="E12" i="5"/>
  <c r="D12" i="5"/>
  <c r="E11" i="5"/>
  <c r="D11" i="5"/>
  <c r="E10" i="5"/>
  <c r="D10" i="5"/>
  <c r="E6" i="5"/>
  <c r="D6" i="5"/>
  <c r="B6" i="5"/>
  <c r="E12" i="7"/>
  <c r="D12" i="7"/>
  <c r="E11" i="7"/>
  <c r="E10" i="7"/>
  <c r="D10" i="7"/>
  <c r="E9" i="7"/>
  <c r="D9" i="7"/>
  <c r="E5" i="7"/>
  <c r="D5" i="7"/>
  <c r="B5" i="7"/>
  <c r="E39" i="4"/>
  <c r="E38" i="4"/>
  <c r="E37" i="4"/>
  <c r="E36" i="4"/>
  <c r="E35" i="4"/>
  <c r="E34" i="4"/>
  <c r="E33" i="4"/>
  <c r="D33" i="4"/>
  <c r="E32" i="4"/>
  <c r="E31" i="4"/>
  <c r="D31" i="4"/>
  <c r="E30" i="4"/>
  <c r="D30" i="4"/>
  <c r="E29" i="4"/>
  <c r="D29" i="4"/>
  <c r="E28" i="4"/>
  <c r="D28" i="4"/>
  <c r="E27" i="4"/>
  <c r="D27" i="4"/>
  <c r="E26" i="4"/>
  <c r="D26" i="4"/>
  <c r="E25" i="4"/>
  <c r="D25" i="4"/>
  <c r="E24" i="4"/>
  <c r="D24" i="4"/>
  <c r="E23" i="4"/>
  <c r="D23" i="4"/>
  <c r="E22" i="4"/>
  <c r="D22" i="4"/>
  <c r="E21" i="4"/>
  <c r="D21" i="4"/>
  <c r="E20" i="4"/>
  <c r="D20" i="4"/>
  <c r="E19" i="4"/>
  <c r="D19" i="4"/>
  <c r="E18" i="4"/>
  <c r="D18" i="4"/>
  <c r="E17" i="4"/>
  <c r="D17" i="4"/>
  <c r="E16" i="4"/>
  <c r="D16" i="4"/>
  <c r="E12" i="4"/>
  <c r="D12" i="4"/>
  <c r="E8" i="4"/>
  <c r="D8" i="4"/>
  <c r="J172" i="3"/>
  <c r="K172" i="3" s="1"/>
  <c r="J171" i="3"/>
  <c r="K171" i="3" s="1"/>
  <c r="J170" i="3"/>
  <c r="K170" i="3" s="1"/>
  <c r="J169" i="3"/>
  <c r="K169" i="3" s="1"/>
  <c r="J168" i="3"/>
  <c r="K168" i="3" s="1"/>
  <c r="J167" i="3"/>
  <c r="K167" i="3" s="1"/>
  <c r="J166" i="3"/>
  <c r="K166" i="3" s="1"/>
  <c r="J165" i="3"/>
  <c r="K165" i="3" s="1"/>
  <c r="J164" i="3"/>
  <c r="K164" i="3" s="1"/>
  <c r="J163" i="3"/>
  <c r="K163" i="3" s="1"/>
  <c r="J162" i="3"/>
  <c r="K162" i="3" s="1"/>
  <c r="J161" i="3"/>
  <c r="K161" i="3" s="1"/>
  <c r="J160" i="3"/>
  <c r="K160" i="3" s="1"/>
  <c r="J159" i="3"/>
  <c r="K159" i="3" s="1"/>
  <c r="J158" i="3"/>
  <c r="K158" i="3" s="1"/>
  <c r="J157" i="3"/>
  <c r="K157" i="3" s="1"/>
  <c r="J156" i="3"/>
  <c r="K156" i="3" s="1"/>
  <c r="J155" i="3"/>
  <c r="K155" i="3" s="1"/>
  <c r="J154" i="3"/>
  <c r="K154" i="3" s="1"/>
  <c r="J124" i="3"/>
  <c r="K124" i="3" s="1"/>
  <c r="J153" i="3"/>
  <c r="K153" i="3" s="1"/>
  <c r="J152" i="3"/>
  <c r="K152" i="3" s="1"/>
  <c r="J151" i="3"/>
  <c r="K151" i="3" s="1"/>
  <c r="J150" i="3"/>
  <c r="K150" i="3" s="1"/>
  <c r="J148" i="3"/>
  <c r="K148" i="3" s="1"/>
  <c r="J147" i="3"/>
  <c r="K147" i="3" s="1"/>
  <c r="J129" i="3"/>
  <c r="K129" i="3" s="1"/>
  <c r="J145" i="3"/>
  <c r="K145" i="3" s="1"/>
  <c r="J144" i="3"/>
  <c r="K144" i="3" s="1"/>
  <c r="J142" i="3"/>
  <c r="K142" i="3" s="1"/>
  <c r="J117" i="3"/>
  <c r="K117" i="3" s="1"/>
  <c r="J121" i="3"/>
  <c r="K121" i="3" s="1"/>
  <c r="J119" i="3"/>
  <c r="K119" i="3" s="1"/>
  <c r="J141" i="3"/>
  <c r="K141" i="3" s="1"/>
  <c r="J122" i="3"/>
  <c r="K122" i="3" s="1"/>
  <c r="J114" i="3"/>
  <c r="K114" i="3" s="1"/>
  <c r="J140" i="3"/>
  <c r="K140" i="3" s="1"/>
  <c r="J139" i="3"/>
  <c r="K139" i="3" s="1"/>
  <c r="J120" i="3"/>
  <c r="K120" i="3" s="1"/>
  <c r="J138" i="3"/>
  <c r="K138" i="3" s="1"/>
  <c r="J137" i="3"/>
  <c r="K137" i="3" s="1"/>
  <c r="J136" i="3"/>
  <c r="K136" i="3" s="1"/>
  <c r="J135" i="3"/>
  <c r="K135" i="3" s="1"/>
  <c r="J134" i="3"/>
  <c r="K134" i="3" s="1"/>
  <c r="J133" i="3"/>
  <c r="K133" i="3" s="1"/>
  <c r="J132" i="3"/>
  <c r="K132" i="3" s="1"/>
  <c r="J110" i="3"/>
  <c r="K110" i="3" s="1"/>
  <c r="J131" i="3"/>
  <c r="K131" i="3" s="1"/>
  <c r="J61" i="3"/>
  <c r="K61" i="3" s="1"/>
  <c r="J130" i="3"/>
  <c r="K130" i="3" s="1"/>
  <c r="J128" i="3"/>
  <c r="K128" i="3" s="1"/>
  <c r="J113" i="3"/>
  <c r="K113" i="3" s="1"/>
  <c r="J107" i="3"/>
  <c r="K107" i="3" s="1"/>
  <c r="J109" i="3"/>
  <c r="K109" i="3" s="1"/>
  <c r="J127" i="3"/>
  <c r="K127" i="3" s="1"/>
  <c r="J60" i="3"/>
  <c r="K60" i="3" s="1"/>
  <c r="J126" i="3"/>
  <c r="K126" i="3" s="1"/>
  <c r="J125" i="3"/>
  <c r="K125" i="3" s="1"/>
  <c r="J97" i="3"/>
  <c r="K97" i="3" s="1"/>
  <c r="J123" i="3"/>
  <c r="K123" i="3" s="1"/>
  <c r="J105" i="3"/>
  <c r="K105" i="3" s="1"/>
  <c r="J106" i="3"/>
  <c r="K106" i="3" s="1"/>
  <c r="J118" i="3"/>
  <c r="K118" i="3" s="1"/>
  <c r="J115" i="3"/>
  <c r="K115" i="3" s="1"/>
  <c r="J116" i="3"/>
  <c r="K116" i="3" s="1"/>
  <c r="J99" i="3"/>
  <c r="K99" i="3" s="1"/>
  <c r="J101" i="3"/>
  <c r="K101" i="3" s="1"/>
  <c r="J112" i="3"/>
  <c r="K112" i="3" s="1"/>
  <c r="J93" i="3"/>
  <c r="K93" i="3" s="1"/>
  <c r="J102" i="3"/>
  <c r="K102" i="3" s="1"/>
  <c r="J108" i="3"/>
  <c r="K108" i="3" s="1"/>
  <c r="J100" i="3"/>
  <c r="K100" i="3" s="1"/>
  <c r="J95" i="3"/>
  <c r="K95" i="3" s="1"/>
  <c r="J104" i="3"/>
  <c r="K104" i="3" s="1"/>
  <c r="J84" i="3"/>
  <c r="K84" i="3" s="1"/>
  <c r="J103" i="3"/>
  <c r="K103" i="3" s="1"/>
  <c r="J89" i="3"/>
  <c r="K89" i="3" s="1"/>
  <c r="J96" i="3"/>
  <c r="K96" i="3" s="1"/>
  <c r="J90" i="3"/>
  <c r="K90" i="3" s="1"/>
  <c r="J94" i="3"/>
  <c r="K94" i="3" s="1"/>
  <c r="J98" i="3"/>
  <c r="K98" i="3" s="1"/>
  <c r="J91" i="3"/>
  <c r="K91" i="3" s="1"/>
  <c r="J85" i="3"/>
  <c r="K85" i="3" s="1"/>
  <c r="J88" i="3"/>
  <c r="K88" i="3" s="1"/>
  <c r="J81" i="3"/>
  <c r="K81" i="3" s="1"/>
  <c r="J80" i="3"/>
  <c r="K80" i="3" s="1"/>
  <c r="D92" i="3"/>
  <c r="J92" i="3" s="1"/>
  <c r="K92" i="3" s="1"/>
  <c r="J79" i="3"/>
  <c r="K79" i="3" s="1"/>
  <c r="J74" i="3"/>
  <c r="K74" i="3" s="1"/>
  <c r="J72" i="3"/>
  <c r="K72" i="3" s="1"/>
  <c r="J83" i="3"/>
  <c r="K83" i="3" s="1"/>
  <c r="J86" i="3"/>
  <c r="K86" i="3" s="1"/>
  <c r="H87" i="3"/>
  <c r="J87" i="3" s="1"/>
  <c r="K87" i="3" s="1"/>
  <c r="J75" i="3"/>
  <c r="K75" i="3" s="1"/>
  <c r="J82" i="3"/>
  <c r="K82" i="3" s="1"/>
  <c r="J76" i="3"/>
  <c r="K76" i="3" s="1"/>
  <c r="J78" i="3"/>
  <c r="K78" i="3" s="1"/>
  <c r="J68" i="3"/>
  <c r="K68" i="3" s="1"/>
  <c r="J70" i="3"/>
  <c r="K70" i="3" s="1"/>
  <c r="J77" i="3"/>
  <c r="K77" i="3" s="1"/>
  <c r="J67" i="3"/>
  <c r="K67" i="3" s="1"/>
  <c r="J73" i="3"/>
  <c r="K73" i="3" s="1"/>
  <c r="J71" i="3"/>
  <c r="K71" i="3" s="1"/>
  <c r="J63" i="3"/>
  <c r="K63" i="3" s="1"/>
  <c r="J64" i="3"/>
  <c r="K64" i="3" s="1"/>
  <c r="J66" i="3"/>
  <c r="K66" i="3" s="1"/>
  <c r="J65" i="3"/>
  <c r="K65" i="3" s="1"/>
  <c r="D32" i="3"/>
  <c r="J32" i="3" s="1"/>
  <c r="K32" i="3" s="1"/>
  <c r="J62" i="3"/>
  <c r="K62" i="3" s="1"/>
  <c r="J52" i="3"/>
  <c r="K52" i="3" s="1"/>
  <c r="J57" i="3"/>
  <c r="K57" i="3" s="1"/>
  <c r="D59" i="3"/>
  <c r="J59" i="3" s="1"/>
  <c r="K59" i="3" s="1"/>
  <c r="D58" i="3"/>
  <c r="J58" i="3" s="1"/>
  <c r="K58" i="3" s="1"/>
  <c r="D54" i="3"/>
  <c r="J54" i="3" s="1"/>
  <c r="K54" i="3" s="1"/>
  <c r="D55" i="3"/>
  <c r="J55" i="3" s="1"/>
  <c r="K55" i="3" s="1"/>
  <c r="D53" i="3"/>
  <c r="J53" i="3" s="1"/>
  <c r="K53" i="3" s="1"/>
  <c r="J50" i="3"/>
  <c r="K50" i="3" s="1"/>
  <c r="D56" i="3"/>
  <c r="J56" i="3" s="1"/>
  <c r="K56" i="3" s="1"/>
  <c r="D51" i="3"/>
  <c r="J51" i="3" s="1"/>
  <c r="K51" i="3" s="1"/>
  <c r="D48" i="3"/>
  <c r="J48" i="3" s="1"/>
  <c r="K48" i="3" s="1"/>
  <c r="D49" i="3"/>
  <c r="J49" i="3" s="1"/>
  <c r="K49" i="3" s="1"/>
  <c r="D42" i="3"/>
  <c r="J42" i="3" s="1"/>
  <c r="K42" i="3" s="1"/>
  <c r="D47" i="3"/>
  <c r="J47" i="3" s="1"/>
  <c r="K47" i="3" s="1"/>
  <c r="D46" i="3"/>
  <c r="J46" i="3" s="1"/>
  <c r="K46" i="3" s="1"/>
  <c r="J43" i="3"/>
  <c r="K43" i="3" s="1"/>
  <c r="D45" i="3"/>
  <c r="J45" i="3" s="1"/>
  <c r="K45" i="3" s="1"/>
  <c r="D44" i="3"/>
  <c r="J44" i="3" s="1"/>
  <c r="K44" i="3" s="1"/>
  <c r="D39" i="3"/>
  <c r="J39" i="3" s="1"/>
  <c r="K39" i="3" s="1"/>
  <c r="D41" i="3"/>
  <c r="J41" i="3" s="1"/>
  <c r="K41" i="3" s="1"/>
  <c r="D40" i="3"/>
  <c r="J40" i="3" s="1"/>
  <c r="K40" i="3" s="1"/>
  <c r="D38" i="3"/>
  <c r="J38" i="3" s="1"/>
  <c r="K38" i="3" s="1"/>
  <c r="D37" i="3"/>
  <c r="J37" i="3" s="1"/>
  <c r="K37" i="3" s="1"/>
  <c r="D36" i="3"/>
  <c r="J36" i="3" s="1"/>
  <c r="K36" i="3" s="1"/>
  <c r="D35" i="3"/>
  <c r="J35" i="3" s="1"/>
  <c r="K35" i="3" s="1"/>
  <c r="D34" i="3"/>
  <c r="J34" i="3" s="1"/>
  <c r="K34" i="3" s="1"/>
  <c r="D31" i="3"/>
  <c r="D33" i="3"/>
  <c r="J33" i="3" s="1"/>
  <c r="K33" i="3" s="1"/>
  <c r="D30" i="3"/>
  <c r="J30" i="3" s="1"/>
  <c r="K30" i="3" s="1"/>
  <c r="J29" i="3"/>
  <c r="K29" i="3" s="1"/>
  <c r="D28" i="3"/>
  <c r="J28" i="3" s="1"/>
  <c r="K28" i="3" s="1"/>
  <c r="J27" i="3"/>
  <c r="K27" i="3" s="1"/>
  <c r="D26" i="3"/>
  <c r="J26" i="3" s="1"/>
  <c r="K26" i="3" s="1"/>
  <c r="F25" i="3"/>
  <c r="D25" i="3"/>
  <c r="D24" i="3"/>
  <c r="J24" i="3" s="1"/>
  <c r="K24" i="3" s="1"/>
  <c r="D23" i="3"/>
  <c r="J23" i="3" s="1"/>
  <c r="K23" i="3" s="1"/>
  <c r="F22" i="3"/>
  <c r="D22" i="3"/>
  <c r="F21" i="3"/>
  <c r="D21" i="3"/>
  <c r="D20" i="3"/>
  <c r="J20" i="3" s="1"/>
  <c r="K20" i="3" s="1"/>
  <c r="D19" i="3"/>
  <c r="J19" i="3" s="1"/>
  <c r="K19" i="3" s="1"/>
  <c r="D18" i="3"/>
  <c r="J18" i="3" s="1"/>
  <c r="K18" i="3" s="1"/>
  <c r="D17" i="3"/>
  <c r="D16" i="3"/>
  <c r="J16" i="3" s="1"/>
  <c r="K16" i="3" s="1"/>
  <c r="B12" i="3"/>
  <c r="C21" i="11" s="1"/>
  <c r="E31" i="2"/>
  <c r="E30" i="2"/>
  <c r="E29" i="2"/>
  <c r="E28" i="2"/>
  <c r="E27" i="2"/>
  <c r="E26" i="2"/>
  <c r="E25" i="2"/>
  <c r="E24" i="2"/>
  <c r="D24" i="2"/>
  <c r="E23" i="2"/>
  <c r="D23" i="2"/>
  <c r="E22" i="2"/>
  <c r="D22" i="2"/>
  <c r="E21" i="2"/>
  <c r="D21" i="2"/>
  <c r="E20" i="2"/>
  <c r="D20" i="2"/>
  <c r="E19" i="2"/>
  <c r="D19" i="2"/>
  <c r="E18" i="2"/>
  <c r="D18" i="2"/>
  <c r="E17" i="2"/>
  <c r="D17" i="2"/>
  <c r="E16" i="2"/>
  <c r="D16" i="2"/>
  <c r="E15" i="2"/>
  <c r="D15" i="2"/>
  <c r="E14" i="2"/>
  <c r="D14" i="2"/>
  <c r="E13" i="2"/>
  <c r="D9" i="2"/>
  <c r="E9" i="2" s="1"/>
  <c r="D20" i="11" s="1"/>
  <c r="B9" i="2"/>
  <c r="D15" i="6"/>
  <c r="E15" i="6" s="1"/>
  <c r="D13" i="6"/>
  <c r="E13" i="6" s="1"/>
  <c r="D12" i="6"/>
  <c r="E12" i="6" s="1"/>
  <c r="E11" i="6"/>
  <c r="D7" i="6"/>
  <c r="E7" i="6" s="1"/>
  <c r="D19" i="11" s="1"/>
  <c r="B7" i="6"/>
  <c r="C19" i="11" s="1"/>
  <c r="E13" i="10"/>
  <c r="E12" i="10"/>
  <c r="D12" i="10"/>
  <c r="E11" i="10"/>
  <c r="D11" i="10"/>
  <c r="E10" i="10"/>
  <c r="D10" i="10"/>
  <c r="E6" i="10"/>
  <c r="D6" i="10"/>
  <c r="B6" i="10"/>
  <c r="E19" i="1"/>
  <c r="E18" i="1"/>
  <c r="D18" i="1"/>
  <c r="E15" i="1"/>
  <c r="D15" i="1"/>
  <c r="E14" i="1"/>
  <c r="D14" i="1"/>
  <c r="E13" i="1"/>
  <c r="D13" i="1"/>
  <c r="E12" i="1"/>
  <c r="D12" i="1"/>
  <c r="E11" i="1"/>
  <c r="E7" i="1"/>
  <c r="D17" i="11" s="1"/>
  <c r="D7" i="1"/>
  <c r="B7" i="1"/>
  <c r="J22" i="3" l="1"/>
  <c r="K22" i="3" s="1"/>
  <c r="C25" i="11"/>
  <c r="F13" i="3"/>
  <c r="J17" i="3"/>
  <c r="K17" i="3" s="1"/>
  <c r="J21" i="3"/>
  <c r="K21" i="3" s="1"/>
  <c r="J25" i="3"/>
  <c r="K25" i="3" s="1"/>
  <c r="J31" i="3"/>
  <c r="K31" i="3" s="1"/>
  <c r="J12" i="3" l="1"/>
  <c r="K12" i="3" s="1"/>
  <c r="D21" i="11" s="1"/>
  <c r="D25" i="11" s="1"/>
</calcChain>
</file>

<file path=xl/sharedStrings.xml><?xml version="1.0" encoding="utf-8"?>
<sst xmlns="http://schemas.openxmlformats.org/spreadsheetml/2006/main" count="1732" uniqueCount="1481">
  <si>
    <t>Negations</t>
  </si>
  <si>
    <t>Foods</t>
  </si>
  <si>
    <t>Name</t>
  </si>
  <si>
    <t>Count</t>
  </si>
  <si>
    <t>Latex</t>
  </si>
  <si>
    <t>Milk</t>
  </si>
  <si>
    <t>Pollen</t>
  </si>
  <si>
    <t>Environment</t>
  </si>
  <si>
    <t>Tramadol</t>
  </si>
  <si>
    <t>Azithromycin</t>
  </si>
  <si>
    <t>Hydrocodone</t>
  </si>
  <si>
    <t>Acetaminophen</t>
  </si>
  <si>
    <t>Prochlorperazine</t>
  </si>
  <si>
    <t>Nitrofurantoin</t>
  </si>
  <si>
    <t>Atorvastatin</t>
  </si>
  <si>
    <t>Ketorolac</t>
  </si>
  <si>
    <t>Sulfamethoxazole</t>
  </si>
  <si>
    <t>Oxycodone</t>
  </si>
  <si>
    <t>Metoclopramide</t>
  </si>
  <si>
    <t>Celecoxib</t>
  </si>
  <si>
    <t>Simvastatin</t>
  </si>
  <si>
    <t>Gabapentin</t>
  </si>
  <si>
    <t>Bupropion</t>
  </si>
  <si>
    <t>Amlodipine</t>
  </si>
  <si>
    <t>Fentanyl</t>
  </si>
  <si>
    <t>Metformin</t>
  </si>
  <si>
    <t>Hydrochlorothiazide</t>
  </si>
  <si>
    <t>Sumatriptan</t>
  </si>
  <si>
    <t>Procaine</t>
  </si>
  <si>
    <t>Sertraline</t>
  </si>
  <si>
    <t>Purpose</t>
  </si>
  <si>
    <t>SNOMED</t>
  </si>
  <si>
    <t>FDB</t>
  </si>
  <si>
    <t>Multum</t>
  </si>
  <si>
    <t>% Transactions</t>
  </si>
  <si>
    <t>Purpose:</t>
  </si>
  <si>
    <t>No Latex allergy</t>
  </si>
  <si>
    <t>Additional (Uncommon/But important)</t>
  </si>
  <si>
    <t>record vaccines that should be avoided</t>
  </si>
  <si>
    <t>Document allergies to common foods</t>
  </si>
  <si>
    <t>Allergies could not be assessed.</t>
  </si>
  <si>
    <t>The system knows of other allergies which (are also sent), and this list was verified at this time.</t>
  </si>
  <si>
    <t>Allergy list verified without change</t>
  </si>
  <si>
    <t xml:space="preserve">Any other substance (Indicator/Vaccine/Food/Environment/Class/Med Ingredient.  </t>
  </si>
  <si>
    <t>Any item containing Latex. Purpose is to warn in setting of procedure use and use non-latex alternatives.</t>
  </si>
  <si>
    <t>Also send</t>
  </si>
  <si>
    <t>Any status change to prior negations of Latex</t>
  </si>
  <si>
    <t>Definition Includes</t>
  </si>
  <si>
    <t>UNII</t>
  </si>
  <si>
    <t>Eggs</t>
  </si>
  <si>
    <t>Seafood</t>
  </si>
  <si>
    <t>Peanuts</t>
  </si>
  <si>
    <t>Nuts</t>
  </si>
  <si>
    <t>Clarifying text of nuts that are allowed if applicable</t>
  </si>
  <si>
    <t>Any food containing egg.  Purpose: flag in dietary and medication processing.  Read clarifying text</t>
  </si>
  <si>
    <t>Clarifying text of foods that are allowed if applicable</t>
  </si>
  <si>
    <t>Penicillins</t>
  </si>
  <si>
    <t>NDFRT</t>
  </si>
  <si>
    <t>NSAIDs</t>
  </si>
  <si>
    <t>Cephalosporins</t>
  </si>
  <si>
    <t>Tetracyclines</t>
  </si>
  <si>
    <t>Quinolones</t>
  </si>
  <si>
    <t>Statins</t>
  </si>
  <si>
    <t>Cephalosporin ingredients</t>
  </si>
  <si>
    <t>NKA</t>
  </si>
  <si>
    <t>NKDA</t>
  </si>
  <si>
    <t>NKFA</t>
  </si>
  <si>
    <t>NKEA</t>
  </si>
  <si>
    <t>Sulfonamides</t>
  </si>
  <si>
    <t>beta-Lactam antibiotic</t>
  </si>
  <si>
    <t>Beta Blockers</t>
  </si>
  <si>
    <t>Steroids</t>
  </si>
  <si>
    <t>Dust</t>
  </si>
  <si>
    <t>Mold</t>
  </si>
  <si>
    <t>Nickel</t>
  </si>
  <si>
    <t>Strawberry</t>
  </si>
  <si>
    <t>Gluten</t>
  </si>
  <si>
    <t>Caffeine</t>
  </si>
  <si>
    <t>Chocolate</t>
  </si>
  <si>
    <t>Both shellfish, shrimp, and other kinds of seafood.  Purpose: flag in dietary and medication processing - review clarifying text before proceeding</t>
  </si>
  <si>
    <t>Tomato</t>
  </si>
  <si>
    <t>Pseudoephedrine</t>
  </si>
  <si>
    <t>Rofecoxib</t>
  </si>
  <si>
    <t>Trimethoprim</t>
  </si>
  <si>
    <t>Duloxetine</t>
  </si>
  <si>
    <t>Metoprolol</t>
  </si>
  <si>
    <t>Carbamazepine</t>
  </si>
  <si>
    <t>Amitriptyline</t>
  </si>
  <si>
    <t>Fluoxetine</t>
  </si>
  <si>
    <t>Paroxetine</t>
  </si>
  <si>
    <t>Pravastatin</t>
  </si>
  <si>
    <t>Trazodone</t>
  </si>
  <si>
    <t>Omeprazole</t>
  </si>
  <si>
    <t>Topiramate</t>
  </si>
  <si>
    <t>Diltiazem</t>
  </si>
  <si>
    <t>Neomycin</t>
  </si>
  <si>
    <t>Guaifenesin</t>
  </si>
  <si>
    <t>Atenolol</t>
  </si>
  <si>
    <t>Bacitracin</t>
  </si>
  <si>
    <t>Citalopram</t>
  </si>
  <si>
    <t>Risperidone</t>
  </si>
  <si>
    <t>Venlafaxine</t>
  </si>
  <si>
    <t>Escitalopram</t>
  </si>
  <si>
    <t>Diclofenac</t>
  </si>
  <si>
    <t>loratadine</t>
  </si>
  <si>
    <t>Nalbuphine</t>
  </si>
  <si>
    <t>Losartan</t>
  </si>
  <si>
    <t>Clonidine</t>
  </si>
  <si>
    <t>Ezetimibe</t>
  </si>
  <si>
    <t>Furosemide</t>
  </si>
  <si>
    <t>Clavulanic acid</t>
  </si>
  <si>
    <t>Nabumetone</t>
  </si>
  <si>
    <t>Ranitidine</t>
  </si>
  <si>
    <t>Fluconazole</t>
  </si>
  <si>
    <t>Lansoprazole</t>
  </si>
  <si>
    <t>Alprazolam</t>
  </si>
  <si>
    <t>Lovastatin</t>
  </si>
  <si>
    <t>Amiodarone</t>
  </si>
  <si>
    <t>Droperidol</t>
  </si>
  <si>
    <t>Valsartan</t>
  </si>
  <si>
    <t>Lactose</t>
  </si>
  <si>
    <t>Allopurinol</t>
  </si>
  <si>
    <t>Piroxicam</t>
  </si>
  <si>
    <t>Fenofibrate</t>
  </si>
  <si>
    <t>Gentamicin</t>
  </si>
  <si>
    <t>Verapamil</t>
  </si>
  <si>
    <t>Cetirizine</t>
  </si>
  <si>
    <t>Combos</t>
  </si>
  <si>
    <t>Salts</t>
  </si>
  <si>
    <t>piperacillin-tazobactam</t>
  </si>
  <si>
    <t>Piperacillin</t>
  </si>
  <si>
    <t>Tazobactam</t>
  </si>
  <si>
    <t>ethinyl estradiol-levonorgestrel</t>
  </si>
  <si>
    <t>Ethinyl estradiol</t>
  </si>
  <si>
    <t>Levonorgestrel</t>
  </si>
  <si>
    <t>Form</t>
  </si>
  <si>
    <t>sulfur topical</t>
  </si>
  <si>
    <t>Sulfur</t>
  </si>
  <si>
    <t>divalproex sodium</t>
  </si>
  <si>
    <t>SCD/BCD</t>
  </si>
  <si>
    <t>Iodine</t>
  </si>
  <si>
    <t>Recorded as</t>
  </si>
  <si>
    <t>Seasonal</t>
  </si>
  <si>
    <t>Meperidine</t>
  </si>
  <si>
    <t>Levofloxacin</t>
  </si>
  <si>
    <t>Lisinopril</t>
  </si>
  <si>
    <t>Cephalexin</t>
  </si>
  <si>
    <t>Cats</t>
  </si>
  <si>
    <t>Clindamycin</t>
  </si>
  <si>
    <t>Vancomycin</t>
  </si>
  <si>
    <t>Any radiology contrast? I'm not sure I trust the quality of data capture/mapping for specifically 'Iodine based'.  Is Purpose is that distinctions of allergy such as iodine/gad or oral/iv  will be clarified before proceding with exams? (?other forms of iodine recorded as Iodine allergy)</t>
  </si>
  <si>
    <t>ATC</t>
  </si>
  <si>
    <t>ACE Inhibitors</t>
  </si>
  <si>
    <t>Beta-Lactams</t>
  </si>
  <si>
    <t>Iodine Containing</t>
  </si>
  <si>
    <t>Fish</t>
  </si>
  <si>
    <t>Other Food Allergy;Other Food,Other Food Allergy1,Unlisted Diet Allergy</t>
  </si>
  <si>
    <t>;Food Latex</t>
  </si>
  <si>
    <t>?is this just the special indicator for food handler to avoid touching food with Latex gloves, or is it because latex is really used in foods?</t>
  </si>
  <si>
    <t>Banana</t>
  </si>
  <si>
    <t>Chocolate;Chocolate,Food Chocolate</t>
  </si>
  <si>
    <t>Corn</t>
  </si>
  <si>
    <t>Dairy</t>
  </si>
  <si>
    <t>Kiwi</t>
  </si>
  <si>
    <t>;Kiwi</t>
  </si>
  <si>
    <t>Soy</t>
  </si>
  <si>
    <t>?is it safe to say that the purpose of listing wheat is likely because desire to avoid gluten?</t>
  </si>
  <si>
    <t>Any food containing milk or dairy products.  Purpose: flag in dietary and medication processing.  Read clarifying text for details.</t>
  </si>
  <si>
    <t>Pork</t>
  </si>
  <si>
    <t>44027008 | Seafood (substance) |</t>
  </si>
  <si>
    <t>13577000 | Nut (substance) |</t>
  </si>
  <si>
    <t>226760005 | Dairy foods (substance) |</t>
  </si>
  <si>
    <t>102263004 | Eggs (edible) (substance) |</t>
  </si>
  <si>
    <t>89811004 | Gluten (substance) |</t>
  </si>
  <si>
    <t>102261002 | Strawberry (substance) |</t>
  </si>
  <si>
    <t>102262009 | Chocolate (substance) |</t>
  </si>
  <si>
    <t>256327008 | Tomato - dietary (substance) |</t>
  </si>
  <si>
    <t>102259006 | Citrus fruit (substance) |</t>
  </si>
  <si>
    <t>Citrus Fruit</t>
  </si>
  <si>
    <t>256355007 | Soya bean (substance) |</t>
  </si>
  <si>
    <t>255641001 | Caffeine (substance) |</t>
  </si>
  <si>
    <t>111088007 | Latex (substance) |</t>
  </si>
  <si>
    <t>256307007 | Banana (substance) |</t>
  </si>
  <si>
    <t>412357001 | Corn (substance) |</t>
  </si>
  <si>
    <t>260176001 | Kiwi fruit (substance) |</t>
  </si>
  <si>
    <t>226934003 | Pork (substance) |</t>
  </si>
  <si>
    <t>406465008 | Food allergen (substance) |</t>
  </si>
  <si>
    <t>?Used in dietary systems to flag dietician to deliver food trays that don't contain particular ingredients</t>
  </si>
  <si>
    <t>385420005 | Contrast media (substance) |</t>
  </si>
  <si>
    <t>8170008 | Adhesive, device (physical object) |</t>
  </si>
  <si>
    <t>Adhesives</t>
  </si>
  <si>
    <t>Contrast Media</t>
  </si>
  <si>
    <t>372665008 | Non-steroidal anti-inflammatory agent (substance) |</t>
  </si>
  <si>
    <t>41549009 | Angiotensin-converting enzyme inhibitor agent (product) |</t>
  </si>
  <si>
    <t>333308000 | Iodine compounds (product) |</t>
  </si>
  <si>
    <t>??</t>
  </si>
  <si>
    <t>160244002 | No known allergies (situation) |</t>
  </si>
  <si>
    <t>409137002 | No known history of drug allergy (situation) |</t>
  </si>
  <si>
    <t>429625007 | No known food allergy (situation) |</t>
  </si>
  <si>
    <t>428607008 | No known environmental allergy (situation) |</t>
  </si>
  <si>
    <t>2LQ0UUW8IN|NATURAL LATEX RUBBER</t>
  </si>
  <si>
    <t>409175002 | No latex allergy (situation) |</t>
  </si>
  <si>
    <t>No Contrast Media Allergy</t>
  </si>
  <si>
    <t>FFY6MYO89N|TREE NUT, UNSPECIFIED</t>
  </si>
  <si>
    <t>Shellfish</t>
  </si>
  <si>
    <t>Shrimp</t>
  </si>
  <si>
    <t>Unspecified</t>
  </si>
  <si>
    <t>917J3173FT|COW MILK </t>
  </si>
  <si>
    <t>J2B2A4N98G|LACTOSE, UNSPECIFIED FORM</t>
  </si>
  <si>
    <t xml:space="preserve">1G4F72G3PH|SHELLFISH, UNSPECIFIED  </t>
  </si>
  <si>
    <t>1891LE191T|SHRIMP, UNSPECIFIED</t>
  </si>
  <si>
    <t>1PIO77PW2X|FISH, UNSPECIFIED</t>
  </si>
  <si>
    <t>227146005 | Shellfish - dietary (substance) |</t>
  </si>
  <si>
    <t>278840001 | Shrimp agent (substance) |</t>
  </si>
  <si>
    <t>227037002 | Fish - dietary (substance) |</t>
  </si>
  <si>
    <t>256349002 | Peanut - dietary (substance) |</t>
  </si>
  <si>
    <t>70813002 | Milk (substance) |</t>
  </si>
  <si>
    <t>47703008 | Lactose (substance) |</t>
  </si>
  <si>
    <t>QE1QX6B99R|PEANUT</t>
  </si>
  <si>
    <t>Nut ;  Nuts, Food Nuts,Tree Nuts,</t>
  </si>
  <si>
    <t>Peanut - dietary; Peanuts,Peanut</t>
  </si>
  <si>
    <t>291P45F896|EGG    </t>
  </si>
  <si>
    <t>1534K8653J|WHEAT GLUTEN</t>
  </si>
  <si>
    <t>4J2TY8Y81V|STRAWBERRY</t>
  </si>
  <si>
    <t xml:space="preserve">D9108TZ9KG|COCOA    </t>
  </si>
  <si>
    <t xml:space="preserve">Z4KHF2C175|TOMATO </t>
  </si>
  <si>
    <t xml:space="preserve">XDK00Z8012|CITRUS FRUIT </t>
  </si>
  <si>
    <t>??  R44IWB3RN5|SOY PROTEIN</t>
  </si>
  <si>
    <t xml:space="preserve">3G6A5W338E|CAFFEINE    </t>
  </si>
  <si>
    <t>4AJZ4765R9|BANANA</t>
  </si>
  <si>
    <t xml:space="preserve">0N8672707O|CORN    </t>
  </si>
  <si>
    <t>71ES77LGJC|KIWI FRUIT</t>
  </si>
  <si>
    <t xml:space="preserve">O138UB266J|PORK    </t>
  </si>
  <si>
    <t>396425006 | Influenza virus vaccine (substance) |</t>
  </si>
  <si>
    <t>412375000 | Tetanus vaccine (substance) |</t>
  </si>
  <si>
    <t>Grass</t>
  </si>
  <si>
    <t>Dogs</t>
  </si>
  <si>
    <t>Dust;Dust</t>
  </si>
  <si>
    <t>Mold;Mold</t>
  </si>
  <si>
    <t>Cat dander;Cats</t>
  </si>
  <si>
    <t>Bees</t>
  </si>
  <si>
    <t>Grass pollen;Grass</t>
  </si>
  <si>
    <t>Dog dander;Dogs</t>
  </si>
  <si>
    <t>Nickel;Nichel</t>
  </si>
  <si>
    <t>Environmental allergy;Environmental,Unlisted Material/Environmental Allergy,Other Environmental</t>
  </si>
  <si>
    <t>Codeine</t>
  </si>
  <si>
    <t>Morphine</t>
  </si>
  <si>
    <t>Ciprofloxacin</t>
  </si>
  <si>
    <t>Amoxicillin</t>
  </si>
  <si>
    <t>Erythromycin</t>
  </si>
  <si>
    <t>Ibuprofen</t>
  </si>
  <si>
    <t>Aspirin</t>
  </si>
  <si>
    <t>Tetracycline</t>
  </si>
  <si>
    <t>Propoxyphene</t>
  </si>
  <si>
    <t>Naproxen</t>
  </si>
  <si>
    <t>Promethazine</t>
  </si>
  <si>
    <t>Acyclovir</t>
  </si>
  <si>
    <t>Clarithromycin</t>
  </si>
  <si>
    <t>Cefaclor</t>
  </si>
  <si>
    <t>Doxycycline</t>
  </si>
  <si>
    <t>Ondansetron</t>
  </si>
  <si>
    <t>Ampicillin</t>
  </si>
  <si>
    <t>Phenytoin</t>
  </si>
  <si>
    <t>Butorphanol</t>
  </si>
  <si>
    <t>Diazepam</t>
  </si>
  <si>
    <t>Niacin</t>
  </si>
  <si>
    <t>Haloperidol</t>
  </si>
  <si>
    <t>Aminoglycosides</t>
  </si>
  <si>
    <t>Lidocaine</t>
  </si>
  <si>
    <t>Cefuroxime</t>
  </si>
  <si>
    <t>Pentazocine</t>
  </si>
  <si>
    <t>Dust mite</t>
  </si>
  <si>
    <t>Zolpidem</t>
  </si>
  <si>
    <t>Alendronate</t>
  </si>
  <si>
    <t>antihistamines</t>
  </si>
  <si>
    <t>Cortisone</t>
  </si>
  <si>
    <t>Midazolam</t>
  </si>
  <si>
    <t>Unable to Obtain</t>
  </si>
  <si>
    <t>penicillin V potassium</t>
  </si>
  <si>
    <t>Minocycline</t>
  </si>
  <si>
    <t>Povidone</t>
  </si>
  <si>
    <t>Horses</t>
  </si>
  <si>
    <t>Ofloxacin</t>
  </si>
  <si>
    <t>Carisoprodol</t>
  </si>
  <si>
    <t>Cyclobenzaprine</t>
  </si>
  <si>
    <t>Esomeprazole</t>
  </si>
  <si>
    <t>Nitroglycerin</t>
  </si>
  <si>
    <t>Enalapril</t>
  </si>
  <si>
    <t>Etodolac</t>
  </si>
  <si>
    <t>Warfarin</t>
  </si>
  <si>
    <t>Indomethacin</t>
  </si>
  <si>
    <t>macrolide antibiotics</t>
  </si>
  <si>
    <t>Clopidogrel</t>
  </si>
  <si>
    <t>Meloxicam</t>
  </si>
  <si>
    <t>Macrolides</t>
  </si>
  <si>
    <t>Moxifloxacin</t>
  </si>
  <si>
    <t>Heparin</t>
  </si>
  <si>
    <t>Apples</t>
  </si>
  <si>
    <t>Animal dander</t>
  </si>
  <si>
    <t>Pneumococcal Vaccine</t>
  </si>
  <si>
    <t>phenothiazines</t>
  </si>
  <si>
    <t>benzodiazepines</t>
  </si>
  <si>
    <t>bee pollen</t>
  </si>
  <si>
    <t>Penicillin G</t>
  </si>
  <si>
    <t>Mango</t>
  </si>
  <si>
    <t>pertussis vaccines</t>
  </si>
  <si>
    <t>Mushrooms</t>
  </si>
  <si>
    <t>Lithium</t>
  </si>
  <si>
    <t>Benzodiazepines</t>
  </si>
  <si>
    <t>Pregabalin</t>
  </si>
  <si>
    <t>garlic</t>
  </si>
  <si>
    <t>MSG</t>
  </si>
  <si>
    <t>Cefdinir</t>
  </si>
  <si>
    <t>Cinnamon</t>
  </si>
  <si>
    <t>Cherry</t>
  </si>
  <si>
    <t>Pertussis Vaccine</t>
  </si>
  <si>
    <t>Penicillin V</t>
  </si>
  <si>
    <t>Cefprozil</t>
  </si>
  <si>
    <t>Garlic</t>
  </si>
  <si>
    <t>Gatifloxacin</t>
  </si>
  <si>
    <t>Antihistamines</t>
  </si>
  <si>
    <t>Narcotics</t>
  </si>
  <si>
    <t>Rosuvastatin</t>
  </si>
  <si>
    <t>Freetext</t>
  </si>
  <si>
    <t>NA</t>
  </si>
  <si>
    <t>Phenothiazines</t>
  </si>
  <si>
    <t>Vaccines</t>
  </si>
  <si>
    <t>Food Coloring</t>
  </si>
  <si>
    <t>Influenza Vaccine</t>
  </si>
  <si>
    <t>Tetanus Vaccine</t>
  </si>
  <si>
    <t>256259004 | Pollen (substance) |</t>
  </si>
  <si>
    <t>288328004 | Bee venom (substance) |</t>
  </si>
  <si>
    <t>260152009 | Cat dander (substance) |</t>
  </si>
  <si>
    <t>33008008 | Dust (substance) |</t>
  </si>
  <si>
    <t>84489001 | Mold (organism) |</t>
  </si>
  <si>
    <t>256277009 | Grass pollen (substance) |</t>
  </si>
  <si>
    <t>260154005 | Dog dander (substance) |</t>
  </si>
  <si>
    <t>33396006 | Nickel (substance) |</t>
  </si>
  <si>
    <t>?? 444316004 | Seasonal allergy (disorder) |</t>
  </si>
  <si>
    <t xml:space="preserve">76013O881M|APIS MELLIFERA VENOM </t>
  </si>
  <si>
    <t>ZDN2AC0L08|FELIS CATUS DANDER</t>
  </si>
  <si>
    <t xml:space="preserve">7OV03QG267|NICKEL    </t>
  </si>
  <si>
    <t>;ANTICONVULSANTS</t>
  </si>
  <si>
    <t>;Aminoglycosides</t>
  </si>
  <si>
    <t>Anticonvulsants</t>
  </si>
  <si>
    <t>tetracyclines,Tetracycline (class of antibiotic)</t>
  </si>
  <si>
    <t>angiotensin converting enzyme inhibitors, Angiotensin-converting enzyme inhibitor agent, ACE inhibitors; ACE Inhibitors</t>
  </si>
  <si>
    <t>No known drug allergies;NKDA,No Known Medication Allergies,No Known Drug Allergies,No Known Drug Intolerances, N.K.D.A.</t>
  </si>
  <si>
    <t>No known environmental allergy;No Known Environmental Allergies</t>
  </si>
  <si>
    <t>No known food allergy; No Known Food Allergies, NKFA</t>
  </si>
  <si>
    <t>iodinated radiocontrast agents,X-ray contrast media,contrast media (iodine-based);Contrast Dye</t>
  </si>
  <si>
    <t>Adhesive agent; Tape, Adhesive Tape,Adhesive Bandage,Adhesive,Bandaids,Plastic Tape</t>
  </si>
  <si>
    <t>No Adhesive Allergy</t>
  </si>
  <si>
    <t>16|sulfa drugs</t>
  </si>
  <si>
    <t>3|penicillins</t>
  </si>
  <si>
    <t>402|contrast media (iodine-based);21|iodinated radiocontrast agents</t>
  </si>
  <si>
    <t>2|cephalosporins</t>
  </si>
  <si>
    <t>39|nonsteroidal anti-inflammatory agents</t>
  </si>
  <si>
    <t>40|angiotensin converting enzyme inhibitors</t>
  </si>
  <si>
    <t>384|statins</t>
  </si>
  <si>
    <t>66|tetracyclines</t>
  </si>
  <si>
    <t>22|quinolone antibiotics</t>
  </si>
  <si>
    <t>75|iodine containing compounds</t>
  </si>
  <si>
    <t>259|beta-lactam antibiotics</t>
  </si>
  <si>
    <t>129|corticosteroids; 396|anabolic steroids</t>
  </si>
  <si>
    <t>56|beta blockers</t>
  </si>
  <si>
    <t>64|anticonvulsants</t>
  </si>
  <si>
    <t>206|aminoglycoside containing compounds</t>
  </si>
  <si>
    <t>tetracycline;Tetracycline</t>
  </si>
  <si>
    <t>doxycycline;Doxycycline</t>
  </si>
  <si>
    <t>predniSONE;Prednisone</t>
  </si>
  <si>
    <t>Lactose;Lactose</t>
  </si>
  <si>
    <t>RxNORM (Ingredient)</t>
  </si>
  <si>
    <t>Generic Ingredient Name</t>
  </si>
  <si>
    <t>ampicillin;ampicillin</t>
  </si>
  <si>
    <t>class</t>
  </si>
  <si>
    <t>levofloxacin;Levofloxacin,Levaquin</t>
  </si>
  <si>
    <t>lisinopril;Lisinopril</t>
  </si>
  <si>
    <t>vancomycin;Vancomycin</t>
  </si>
  <si>
    <t>sulfamethoxazole-trimethoprim,Bactrim 400 mg-80 mg oral tablet ;Sulfamethoxazole / Trimethoprim,Trimethoprim,Bactrim</t>
  </si>
  <si>
    <t>Atorvastatin;Atorvastatin,Lipitor</t>
  </si>
  <si>
    <t>promethazine;Promethazine,Phenergan</t>
  </si>
  <si>
    <t>Ketorolac;Ketorolac,Toradol</t>
  </si>
  <si>
    <t>Strategy</t>
  </si>
  <si>
    <t>Clarify how to send allergy statements that are not otherwise codable, or may not be reliably understood by systems using this list,</t>
  </si>
  <si>
    <t>Issues</t>
  </si>
  <si>
    <t>Freetext Medication Substance</t>
  </si>
  <si>
    <t>Freetext Food Substance</t>
  </si>
  <si>
    <t>Freetext Environmental Substance</t>
  </si>
  <si>
    <t>Null</t>
  </si>
  <si>
    <t>Negations are commonly sent for these procedure flags.  These need clear representation.  The semantics seem to be 'the patient _denies_ allergy/intolerance to xx' rather than 'the patient has allergy to 'no xxx allergy'</t>
  </si>
  <si>
    <t>426232007 | Environmental allergy (disorder) |</t>
  </si>
  <si>
    <t>While CVX is a small list, these don't seem to get used much, and the CVX codes are very granular without an abstraction to higher level statement of what to avoid beyond the precise vaccine variant.</t>
  </si>
  <si>
    <t>Most common use of noting allergy/intolerance to Individual drug substances</t>
  </si>
  <si>
    <t>Pineapple,Citrus fruit;Pineapple,Citrus,Food Citrus</t>
  </si>
  <si>
    <t>shellfish, Shellfish - dietary, Seafood,Shrimp Agent,Fish - dietary ; shellfish, Seafood, Shrimp,Fish,Food Shellfish,Food Seafood,Food Shrimp,Shellfish Containing Products</t>
  </si>
  <si>
    <t>Banana;Banana</t>
  </si>
  <si>
    <t>Pork;Pork</t>
  </si>
  <si>
    <t>Soy bean product;Soy,Food Soybean</t>
  </si>
  <si>
    <t>Eggs (edible),Egg product;Eggs,Food Eggs,egg-containing compound,Egg</t>
  </si>
  <si>
    <t>Corn;Corn</t>
  </si>
  <si>
    <t>Milk, Milk Products,Dairy foods ;Food Lactose Intolerance (Restricts Milk/Milk Products),Food Milk/Milk Products, Dairy,Dairy Products</t>
  </si>
  <si>
    <t>Red food coloring;Red Dye,Food Red Dye</t>
  </si>
  <si>
    <t>Strawberry;Strawberries,Strawberry,Food Strawberries</t>
  </si>
  <si>
    <t>Gluten,Wheat;Wheat,Gluten, Glutens,Food Gluten,Food Wheat</t>
  </si>
  <si>
    <t>Caffeine;Caffeine</t>
  </si>
  <si>
    <t>;Mango</t>
  </si>
  <si>
    <t>Mushroom - dietary;Mushrooms,Food Mushroom</t>
  </si>
  <si>
    <t>;Cherry</t>
  </si>
  <si>
    <t>Tomato - dietary;Tomatoes,Food Tomatoes,Tomato</t>
  </si>
  <si>
    <t>Monosodium glutamate;MSG</t>
  </si>
  <si>
    <t>;Apples</t>
  </si>
  <si>
    <t>50825000 | Food coloring (substance) |</t>
  </si>
  <si>
    <t>227252000 | Mushroom - dietary (substance) |</t>
  </si>
  <si>
    <t>75665004 | Monosodium glutamate (substance) |</t>
  </si>
  <si>
    <t>260179008 | Mango fruit (substance) |</t>
  </si>
  <si>
    <t>256310000 | Cherry - dietary (substance) |</t>
  </si>
  <si>
    <t>256311001 | Apple - dietary (substance) |</t>
  </si>
  <si>
    <t>227388008 | Cinnamon (substance) |</t>
  </si>
  <si>
    <t>260172004 | Garlic - dietary (substance) |</t>
  </si>
  <si>
    <t>54C8E6W6JY|CULTIVATED MUSHROOM</t>
  </si>
  <si>
    <t>W81N5U6R6U|MONOSODIUM GLUTAMATE</t>
  </si>
  <si>
    <t>I629I3NR86|MANGO</t>
  </si>
  <si>
    <t>BUC5I9595W|CHERRY</t>
  </si>
  <si>
    <t>B423VGH5S9|APPLE</t>
  </si>
  <si>
    <t>5S29HWU6QB|CINNAMON</t>
  </si>
  <si>
    <t>V1V998DC17|GARLIC</t>
  </si>
  <si>
    <t>?Should this be under pollen?</t>
  </si>
  <si>
    <t>Bee venom,Bumble bee venom;Bee Stings,Bee sting,Bee Venom,Bees/Stinging Insects</t>
  </si>
  <si>
    <t>;Horses</t>
  </si>
  <si>
    <t>;Dust mite</t>
  </si>
  <si>
    <t>Seasonal;Seasonal,Seasonal Allergies</t>
  </si>
  <si>
    <t>Animal dander;Cats / Dogs</t>
  </si>
  <si>
    <t>Pollen,Ragweed pollen,Tree and shrub pollen;Pollen,Tree Pollen,Weed Pollen,Ragweed</t>
  </si>
  <si>
    <t>Questionable</t>
  </si>
  <si>
    <t>2218S6BEDD|HORSE</t>
  </si>
  <si>
    <t>256417003 | Horse dander (substance) |</t>
  </si>
  <si>
    <t>?? 711093001 | Dermatophagoides microceras protein (substance) |</t>
  </si>
  <si>
    <t>Is this to the protein or something else?</t>
  </si>
  <si>
    <t>;Unlisted Drug Allergy 1</t>
  </si>
  <si>
    <t>;Unlisted Substance - See Comment,Misc.Non-Med Allergy-specify in comments;(blank)</t>
  </si>
  <si>
    <t>Allergy Unverified;Allergy Unverified1</t>
  </si>
  <si>
    <t>;No Allergy Information,No Allergy Information Available,unknown</t>
  </si>
  <si>
    <t>No Latex allergy;No Known Latex Allergy</t>
  </si>
  <si>
    <t>Freetext Substance</t>
  </si>
  <si>
    <t>416098002 | Drug allergy (disorder) |</t>
  </si>
  <si>
    <t>419199007 | Allergy to substance (disorder) |</t>
  </si>
  <si>
    <t>topical iodine containing compounds;iodine containing compounds</t>
  </si>
  <si>
    <t>statins,HMG-CoA reductase inhibitor,HMG-CoA reductase inhibitors</t>
  </si>
  <si>
    <t>anabolic steroids,corticosteroids;Corticosteroids</t>
  </si>
  <si>
    <t>Quinolone -class of antibiotic-,quinolone antibiotics</t>
  </si>
  <si>
    <t>cephalosporins,Cephalosporin -class of antibiotic-;cephalosporins</t>
  </si>
  <si>
    <t>beta blockers,beta-Blocking agent</t>
  </si>
  <si>
    <t>narcotic analgesics,Opiate agonist,opioid-like analgesics</t>
  </si>
  <si>
    <t>Priority</t>
  </si>
  <si>
    <t>Need clarity (and long term maintenance) of what ingredients in a class.</t>
  </si>
  <si>
    <t xml:space="preserve">Need more clarity on if sending systems should attempt to resolve class/ingredient overlap before sending.  </t>
  </si>
  <si>
    <t>105908007 | Macrolide (class of antibiotic) (product) |;428787002 | Macrolide (substance) |</t>
  </si>
  <si>
    <t>373254001 | beta-Blocking agent (substance) |</t>
  </si>
  <si>
    <t>373270004 | Penicillin -class of antibiotic- (substance) |</t>
  </si>
  <si>
    <t>387406002 | Sulfonamide (substance) |</t>
  </si>
  <si>
    <t>373262009 | Cephalosporin -class of antibiotic- (substance) |</t>
  </si>
  <si>
    <t>372809001 | Tetracycline (substance) |</t>
  </si>
  <si>
    <t>372912004 | 3-Hydroxy-3-methylglutaryl-coenzyme A reductase inhibitor (substance) |</t>
  </si>
  <si>
    <t>372722000 | Quinolone -class of antibiotic- (substance) |</t>
  </si>
  <si>
    <t>112113009 | Steroid hormone (substance) |</t>
  </si>
  <si>
    <t>404642006 | Opiate agonist (substance) |</t>
  </si>
  <si>
    <t>372806008 | Antihistamine (substance) |</t>
  </si>
  <si>
    <t>255632006 | Anticonvulsant (substance) |</t>
  </si>
  <si>
    <t>4443002 | Aminoglycoside -class of antibiotic- (substance) |</t>
  </si>
  <si>
    <t>372664007 | Benzodiazepine (substance) |</t>
  </si>
  <si>
    <t>372839006 | Phenothiazine (substance) |</t>
  </si>
  <si>
    <t>N02A|OPIOIDS</t>
  </si>
  <si>
    <t>J01A|TETRACYCLINES</t>
  </si>
  <si>
    <t>J01D|OTHER BETA-LACTAM ANTIBACTERIALS</t>
  </si>
  <si>
    <t>J01M|QUINOLONE ANTIBACTERIALS</t>
  </si>
  <si>
    <t>J01C|BETA-LACTAM ANTIBACTERIALS, PENICILLINS</t>
  </si>
  <si>
    <t>?J01E|SULFONAMIDES AND TRIMETHOPRIM</t>
  </si>
  <si>
    <t>J01FA|Macrolides</t>
  </si>
  <si>
    <t>J01G|AMINOGLYCOSIDE ANTIBACTERIALS</t>
  </si>
  <si>
    <t>?M01A|ANTIINFLAMMATORY AND ANTIRHEUMATIC PRODUCTS, NON-STEROIDS</t>
  </si>
  <si>
    <t>C10AA|HMG CoA reductase inhibitors</t>
  </si>
  <si>
    <t>C07A|BETA BLOCKING AGENTS</t>
  </si>
  <si>
    <t>C09A|ACE INHIBITORS, PLAIN</t>
  </si>
  <si>
    <t>90614001 | beta-Lactam antibiotic (product) |</t>
  </si>
  <si>
    <t>R06A|ANTIHISTAMINES FOR SYSTEMIC USE</t>
  </si>
  <si>
    <t>ATC codes have hierarchical issues since ?product use hierarchy.  same ingredient may be different ATC subtrees depending on use or form</t>
  </si>
  <si>
    <t>N03A|ANTIEPILEPTICS</t>
  </si>
  <si>
    <t>N05CD|Benzodiazepine derivatives</t>
  </si>
  <si>
    <t>?N05A|ANTIPSYCHOTICS</t>
  </si>
  <si>
    <t>?? H02 CORTICOSTEROIDS FOR SYSTEMIC USE</t>
  </si>
  <si>
    <t>nonsteroidal anti-inflammatory agents,NSAIDs,Non-steroidal anti-inflammatory agent;NSAIDs, salicylates</t>
  </si>
  <si>
    <t>?should ASA/Salicilate be broken out?</t>
  </si>
  <si>
    <t>Separately Radiocontrast allergy if that is applicable.  Clarifying text of seafoods that are allowed</t>
  </si>
  <si>
    <t>?Includes medications and vaccines, or should vaccines be listed separately</t>
  </si>
  <si>
    <t>?? Seems like we should be consistent in negations.  If no latex, then why not no contrast media, no adhesive.</t>
  </si>
  <si>
    <t>need right level of granularity here that is both pragmatic (accounts for how exists today) and solves downstream use case.</t>
  </si>
  <si>
    <t>?Any reason to break out lactose, cheese, etc?</t>
  </si>
  <si>
    <t>influenza virus vaccine\, inactivated,flu vaccines,Influenza virus vaccine</t>
  </si>
  <si>
    <t>tetanus toxoid, Tetanus vaccine, tetanus toxoids;tetanus toxoid vaccine\, inactivated,tetanus toxoid</t>
  </si>
  <si>
    <t>pneumococcal vaccines,pneumococcal 23-valent vaccine (obsolete)</t>
  </si>
  <si>
    <t>396433007 | Pertussis vaccine (substance) |</t>
  </si>
  <si>
    <t>398730001 | Pneumococcal vaccine (substance) |</t>
  </si>
  <si>
    <t>CVX Group</t>
  </si>
  <si>
    <t xml:space="preserve">139|Td(adult) unspecified formulation </t>
  </si>
  <si>
    <t xml:space="preserve">88|influenza, unspecified formulation </t>
  </si>
  <si>
    <t>107|DTaP, unspecified formulation</t>
  </si>
  <si>
    <t xml:space="preserve">152|Pneumococcal Conjugate, unspecified formulation </t>
  </si>
  <si>
    <t>387494007 | Codeine (substance) |</t>
  </si>
  <si>
    <t>387517004 | Acetaminophen (substance) |</t>
  </si>
  <si>
    <t>373529000 | Morphine (substance) |</t>
  </si>
  <si>
    <t>372687004 | Amoxicillin (substance) |</t>
  </si>
  <si>
    <t>387458008 | Aspirin (substance) |</t>
  </si>
  <si>
    <t>372671002 | Hydrocodone (substance) |</t>
  </si>
  <si>
    <t>363528007 | Sulfamethoxazole (substance) |</t>
  </si>
  <si>
    <t>44588005 | Iodine (substance) |</t>
  </si>
  <si>
    <t>? Is this different than simply stating ingredient iodine?  E.g amoidarone</t>
  </si>
  <si>
    <t>372694001 | Erythromycin (substance) |</t>
  </si>
  <si>
    <t>387179001 | Trimethoprim (substance) |</t>
  </si>
  <si>
    <t>387207008 | Ibuprofen (substance) |</t>
  </si>
  <si>
    <t>74523009 | Sulfadiazine (substance) |</t>
  </si>
  <si>
    <t>372840008 | Ciprofloxacin (substance) |</t>
  </si>
  <si>
    <t>387298007 | Meperidine (substance) |</t>
  </si>
  <si>
    <t>387304003 | Cephalexin (substance) |</t>
  </si>
  <si>
    <t>387552007 | Levofloxacin (substance) |</t>
  </si>
  <si>
    <t>55452001 | Oxycodone (substance) |</t>
  </si>
  <si>
    <t>386858008 | Tramadol (substance) |</t>
  </si>
  <si>
    <t>386873009 | Lisinopril (substance) |</t>
  </si>
  <si>
    <t>387531004 | Azithromycin (substance) |</t>
  </si>
  <si>
    <t>iodine containing (class)</t>
  </si>
  <si>
    <t>372588000 | Naproxen (substance) |</t>
  </si>
  <si>
    <t>387270009 | Cefaclor (substance) |</t>
  </si>
  <si>
    <t>372786004 | Clindamycin (substance) |</t>
  </si>
  <si>
    <t>387487009 | Clarithromycin (substance) |</t>
  </si>
  <si>
    <t>penicillin G potassium,penicillin G benzathine,penicillin G sodium;PENICILLIN G</t>
  </si>
  <si>
    <t>362O9ITL9D|ACETAMINOPHEN</t>
  </si>
  <si>
    <t xml:space="preserve">Q830PW7520|CODEINE </t>
  </si>
  <si>
    <t>76I7G6D29C|MORPHINE</t>
  </si>
  <si>
    <t>804826J2HU|AMOXICILLIN</t>
  </si>
  <si>
    <t>R16CO5Y76E|ASPIRIN</t>
  </si>
  <si>
    <t>6YKS4Y3WQ7|HYDROCODONE</t>
  </si>
  <si>
    <t>JE42381TNV|SULFAMETHOXAZOLE</t>
  </si>
  <si>
    <t>9679TC07X4|IODINE</t>
  </si>
  <si>
    <t>63937KV33D|ERYTHROMYCIN</t>
  </si>
  <si>
    <t>of</t>
  </si>
  <si>
    <t>Recorded As</t>
  </si>
  <si>
    <t>Standard Coding</t>
  </si>
  <si>
    <t>Coding /Use guidelines</t>
  </si>
  <si>
    <t>Disjoint (Don't send with)</t>
  </si>
  <si>
    <t>??276727009 | Null (qualifier value) |</t>
  </si>
  <si>
    <t>Updates to any status changes on inactive statements</t>
  </si>
  <si>
    <t>Comments</t>
  </si>
  <si>
    <t xml:space="preserve">Any other active Med Class or Ingredient.  </t>
  </si>
  <si>
    <t>The patient/caregiver was asked 'do you have any food allergies' and response was 'no', or 'I am not aware of any'.</t>
  </si>
  <si>
    <t>The patient/caregiver was asked 'do you have any allergies' and response was 'no', or 'I am not aware of any'.</t>
  </si>
  <si>
    <t>The patient/caregiver was asked 'do you have any drug or medication allergies' and response was 'no', or 'I am not aware of any'.</t>
  </si>
  <si>
    <t>The patient/caregiver was asked 'do you have any environmental allergies' and response was 'no', or 'I am not aware of any'.</t>
  </si>
  <si>
    <t>The system is not aware of any allergies, however there is no assertion (e.g. discussion with patient/caregiver) to varify this fact.</t>
  </si>
  <si>
    <t>Statement OK to send with</t>
  </si>
  <si>
    <t>Indicate that No information is available regarding allergy alert types, the degree of certainty (e.g. was it asked or verified), and the time</t>
  </si>
  <si>
    <t>The patient has indicated an allergen to some environmental substance (and is not a food or drug) that may not be understood without clarity except in human readable form.  Triggered alerts that are based on matching are not expected to fire, but if queried, the freetext phrasing is available</t>
  </si>
  <si>
    <t>The patient has indicated an allergen to some substance which is at least known to be a drug or medication that may not be understood without clarity except in human readable form.  Triggered alerts that are based on matching are not expected to fire, but if queried, the freetext phrasing is available.  This information may be useful to pharamacy use.</t>
  </si>
  <si>
    <t>The patient has indicated an allergen to some substance which is at least known to be a food that may not be understood without clarity except in human readable form.  Triggered alerts that are based on matching are not expected to fire, but if queried, the freetext phrasing is available.  This information may be of use to dietary systems.</t>
  </si>
  <si>
    <t>Any "No Known…", or null.</t>
  </si>
  <si>
    <t>Any other negation or inactive</t>
  </si>
  <si>
    <t>The patient has indicated an allergen to some substance that could not be coded, or if coded may not not be understood without clarity except in human readable form.  Triggered alerts that are based on matching are not expected to fire, but if queried, the freetext phrasing is available</t>
  </si>
  <si>
    <t>Null or 'NKFA'</t>
  </si>
  <si>
    <t>Null or 'NKEA'</t>
  </si>
  <si>
    <t>Null or 'NKDA'</t>
  </si>
  <si>
    <t>NKDA, NKA, Null</t>
  </si>
  <si>
    <t>NKA, Null</t>
  </si>
  <si>
    <t>Any other statement of active allergy (Indicator/Vaccine/Food/Environment/Class/Med Ingredient). NKDA, NKFA, NKEA, Null.</t>
  </si>
  <si>
    <t>If this is sent, it is assumed to mean there are also no drug, food, or environmental allergies known</t>
  </si>
  <si>
    <t xml:space="preserve">Updates to any status changes on inactive statements. </t>
  </si>
  <si>
    <t>Should Also send</t>
  </si>
  <si>
    <t>Any other statement of active allergy (Indicator/Vaccine/Food/Environment/Class/Med Ingredient).  Statements of list verified unchanged</t>
  </si>
  <si>
    <t xml:space="preserve">Allergies could not be assessed/Allergy list verified without change/Any Explicit Negation/Statements where Status inactive. </t>
  </si>
  <si>
    <t xml:space="preserve">Allergies could not be assessed/Allergy list verified without change/Any Explicit Negation/Statements where Status inactive.  </t>
  </si>
  <si>
    <t>NULL</t>
  </si>
  <si>
    <t>The system may or may not know of other allergy statemetns (which should also be sent separately), however there has been no patient varification (as of this time) for this visit, so the list is considered 'unverified'.</t>
  </si>
  <si>
    <t>Most coded statements can be converted to lists with the standard codes listed here, however for legacy systems that can't do this could use a standard translation service that attempts to map to this structure (and could fail) or may just need to represent some very unusual case, but downstream systems would likely never be able to do anything with this anyway.</t>
  </si>
  <si>
    <t>Variants</t>
  </si>
  <si>
    <t>Narcotics Class, NKDA</t>
  </si>
  <si>
    <t>372682005 | Diphenhydramine (substance) |</t>
  </si>
  <si>
    <t>372501008 | Ketorolac (substance) |</t>
  </si>
  <si>
    <t xml:space="preserve">Need more clarity on how to resolve against statements of class allergy. </t>
  </si>
  <si>
    <t>372871004 | Promethazine (substance) |</t>
  </si>
  <si>
    <t>372853006 | Prochlorperazine (substance) |</t>
  </si>
  <si>
    <t>373444002 | Atorvastatin (substance) |</t>
  </si>
  <si>
    <t>372735009 | Vancomycin (substance) |</t>
  </si>
  <si>
    <t>373543005 | Nitrofurantoin (substance) |</t>
  </si>
  <si>
    <t>44508008 | Hydromorphone (substance) |</t>
  </si>
  <si>
    <t>372478003 | Doxycycline (substance) |</t>
  </si>
  <si>
    <t>116602009 | Prednisone (substance) |</t>
  </si>
  <si>
    <t>372776000 | Metoclopramide (substance) |</t>
  </si>
  <si>
    <t>116081000 | Celecoxib (substance) |</t>
  </si>
  <si>
    <t>372602008 | Metronidazole (substance) |</t>
  </si>
  <si>
    <t>387584000 | Simvastatin (substance) |</t>
  </si>
  <si>
    <t>387170002 | Ampicillin (substance) |</t>
  </si>
  <si>
    <t>386845007 | Gabapentin (substance) |</t>
  </si>
  <si>
    <t>396449009 | Povidone (substance) |</t>
  </si>
  <si>
    <t>387042001 | Dextropropoxyphene (substance) |</t>
  </si>
  <si>
    <t>273943001 | Nicotinic acid (substance) |</t>
  </si>
  <si>
    <t>2679MF687A|NIACIN</t>
  </si>
  <si>
    <t>Alternative coding?</t>
  </si>
  <si>
    <t>All nuts or food that contains them.   Flag in dietary and medication processing to review text for more clarity.  Peanuts are often called 'nuts', but SNOMED has listed separately</t>
  </si>
  <si>
    <t>?should this be inclusive of peanuts.  Per snomed hierarchy, chocolate would classify here, but not peanuts, but to common patient statement 'I'm allergic to 'nuts' they very well could have meant peanut.</t>
  </si>
  <si>
    <t xml:space="preserve">23521W1S24|CLAVULANIC ACID </t>
  </si>
  <si>
    <t>J6292F8L3D|HALOPERIDOL</t>
  </si>
  <si>
    <t>387564004 | Bupropion (substance) |</t>
  </si>
  <si>
    <t>395939008 | Clavulanic acid (substance) |</t>
  </si>
  <si>
    <t>386837002 | Haloperidol (substance) |</t>
  </si>
  <si>
    <t>412439003 | Moxifloxacin (substance) |</t>
  </si>
  <si>
    <t>sulfa drugs,Ophthalmic sulfonamide preparation,sulfonamides,Sulfonamide, Allergy to sulfonamides; Sulfa (Sulfonamide Antibiotics),sulfa drugs, Sulfa, Sulfa (Sulfonamides),Sulfa(Sulfonamide Antibiotics)</t>
  </si>
  <si>
    <t>386864001 | Amlodipine (substance) |</t>
  </si>
  <si>
    <t>108677001 | Cefdinir (substance) |</t>
  </si>
  <si>
    <t>Total Coverage</t>
  </si>
  <si>
    <t>Procedure Flags</t>
  </si>
  <si>
    <t>Med Classes</t>
  </si>
  <si>
    <t>Med Ingredients</t>
  </si>
  <si>
    <t>amoxicillin-clavulanate,Clavulanic acid,Clavulanate potassium,Augmentin 875 mg-125 mg oral tablet;Amoxicillin / Clavulanate,Augmentin,Clavulanic Acid,Augmentin</t>
  </si>
  <si>
    <t>haloperidol;Haloperidol, Haldol</t>
  </si>
  <si>
    <t>Fentanyl;Fentanyl</t>
  </si>
  <si>
    <t>Bupropion,Bupropion hydrochloride;Bupropion,Wellbutrin</t>
  </si>
  <si>
    <t>Benazepril</t>
  </si>
  <si>
    <t>Amlodipine,amLODIPine-benazepril,amLODIPine 5 mg oral tablet;Amlodipine,Norvasc</t>
  </si>
  <si>
    <t>cefdinir;cefdinir,Omnicef</t>
  </si>
  <si>
    <t>AN164J8Y0X|TRIMETHOPRIM</t>
  </si>
  <si>
    <t>WK2XYI10QM|IBUPROFEN</t>
  </si>
  <si>
    <t>0N7609K889|SULFADIAZINE</t>
  </si>
  <si>
    <t>5E8K9I0O4U|CIPROFLOXACIN</t>
  </si>
  <si>
    <t>9E338QE28F|MEPERIDINE</t>
  </si>
  <si>
    <t>OBN7UDS42Y|CEPHALEXIN</t>
  </si>
  <si>
    <t>6GNT3Y5LMF|LEVOFLOXACIN</t>
  </si>
  <si>
    <t>CD35PMG570|OXYCODONE</t>
  </si>
  <si>
    <t>39J1LGJ30J|TRAMADOL</t>
  </si>
  <si>
    <t>E7199S1YWR|LISINOPRIL</t>
  </si>
  <si>
    <t>F94OW58Y8V|AZITHROMYCIN, UNSPECIFIED FORM</t>
  </si>
  <si>
    <t>57Y76R9ATQ|NAPROXEN</t>
  </si>
  <si>
    <t>69K7K19H4L|CEFACLOR</t>
  </si>
  <si>
    <t>3U02EL437C|CLINDAMYCIN</t>
  </si>
  <si>
    <t>H1250JIK0A|CLARITHROMYCIN</t>
  </si>
  <si>
    <t>8GTS82S83M|DIPHENHYDRAMINE</t>
  </si>
  <si>
    <t>YZI5105V0L|KETOROLAC</t>
  </si>
  <si>
    <t>FF28EJQ494|PROMETHAZINE</t>
  </si>
  <si>
    <t>YHP6YLT61T|PROCHLORPERAZINE</t>
  </si>
  <si>
    <t>A0JWA85V8F|ATORVASTATIN</t>
  </si>
  <si>
    <t>6Q205EH1VU|VANCOMYCIN</t>
  </si>
  <si>
    <t>927AH8112L|NITROFURANTOIN</t>
  </si>
  <si>
    <t>F8VB5M810T|TETRACYCLINE</t>
  </si>
  <si>
    <t>Q812464R06|HYDROMORPHONE</t>
  </si>
  <si>
    <t>N12000U13O|DOXYCYCLINE</t>
  </si>
  <si>
    <t>VB0R961HZT|PREDNISONE</t>
  </si>
  <si>
    <t>L4YEB44I46|METOCLOPRAMIDE</t>
  </si>
  <si>
    <t>JCX84Q7J1L|CELECOXIB</t>
  </si>
  <si>
    <t>140QMO216E|METRONIDAZOLE</t>
  </si>
  <si>
    <t>AGG2FN16EV|SIMVASTATIN</t>
  </si>
  <si>
    <t>7C782967RD|AMPICILLIN</t>
  </si>
  <si>
    <t>6CW7F3G59X|GABAPENTIN</t>
  </si>
  <si>
    <t>FZ989GH94E|POVIDONES</t>
  </si>
  <si>
    <t>S2F83W92TK|PROPOXYPHENE</t>
  </si>
  <si>
    <t>01ZG3TPX31|BUPROPION</t>
  </si>
  <si>
    <t>U188XYD42P|MOXIFLOXACIN</t>
  </si>
  <si>
    <t>1J444QC288|AMLODIPINE</t>
  </si>
  <si>
    <t>CI0FAO63WC|CEFDINIR</t>
  </si>
  <si>
    <t xml:space="preserve">R05DA04|codeine  </t>
  </si>
  <si>
    <t xml:space="preserve">N02AA01|morphine  </t>
  </si>
  <si>
    <t xml:space="preserve">N02BE01|paracetamol  </t>
  </si>
  <si>
    <t xml:space="preserve">J01CA04|amoxicillin </t>
  </si>
  <si>
    <t xml:space="preserve">N02BA01|acetylsalicylic acid  </t>
  </si>
  <si>
    <t xml:space="preserve">R05DA03|hydrocodone </t>
  </si>
  <si>
    <t xml:space="preserve">J01EC01|sulfamethoxazole </t>
  </si>
  <si>
    <t xml:space="preserve">D08AG03|iodine </t>
  </si>
  <si>
    <t xml:space="preserve">J01FA01|erythromycin </t>
  </si>
  <si>
    <t xml:space="preserve">J01EA01|trimethoprim </t>
  </si>
  <si>
    <t>d00012|codeine</t>
  </si>
  <si>
    <t>d00049|acetaminophen</t>
  </si>
  <si>
    <t>d00308|morphine</t>
  </si>
  <si>
    <t>d00088|amoxicillin</t>
  </si>
  <si>
    <t>d00170|aspirin</t>
  </si>
  <si>
    <t>d03075|HYDROcodone</t>
  </si>
  <si>
    <t>d00119|sulfamethoxazole</t>
  </si>
  <si>
    <t>d05776|iodine</t>
  </si>
  <si>
    <t>d00046|erythromycin</t>
  </si>
  <si>
    <t>d00123|trimethoprim</t>
  </si>
  <si>
    <t>Propranolol</t>
  </si>
  <si>
    <t>Ramipril</t>
  </si>
  <si>
    <t>ziprasidone</t>
  </si>
  <si>
    <t>hydrOXYzine</t>
  </si>
  <si>
    <t>cefadroxil</t>
  </si>
  <si>
    <t>pantoprazole</t>
  </si>
  <si>
    <t>Varenicline</t>
  </si>
  <si>
    <t>fexofenadine</t>
  </si>
  <si>
    <t>montelukast</t>
  </si>
  <si>
    <t>Pioglitazone</t>
  </si>
  <si>
    <t>Buspirone</t>
  </si>
  <si>
    <t>Oxaprozin</t>
  </si>
  <si>
    <t>Gemfibrozil</t>
  </si>
  <si>
    <t>Hydroxychloroquine</t>
  </si>
  <si>
    <t>Tamsulosin</t>
  </si>
  <si>
    <t>Spironolactone</t>
  </si>
  <si>
    <t>phenazopyridine</t>
  </si>
  <si>
    <t>methocarbamol</t>
  </si>
  <si>
    <t>cefixime</t>
  </si>
  <si>
    <t>Carvedilol</t>
  </si>
  <si>
    <t>Levetiracetam</t>
  </si>
  <si>
    <t>Methylphenidate</t>
  </si>
  <si>
    <t>tuberculin purified protein derivative</t>
  </si>
  <si>
    <t>enoxaparin</t>
  </si>
  <si>
    <t>Quinapril</t>
  </si>
  <si>
    <t>theophylline</t>
  </si>
  <si>
    <t>methadone</t>
  </si>
  <si>
    <t>baclofen</t>
  </si>
  <si>
    <t>Metaxalone</t>
  </si>
  <si>
    <t>Clonazepam</t>
  </si>
  <si>
    <t>methotrexate</t>
  </si>
  <si>
    <t>Dexamethasone</t>
  </si>
  <si>
    <t>ascorbic acid</t>
  </si>
  <si>
    <t>OLANZapine</t>
  </si>
  <si>
    <t>sulfaSALAzine</t>
  </si>
  <si>
    <t>Dicyclomine</t>
  </si>
  <si>
    <t>Risedronate</t>
  </si>
  <si>
    <t>valdecoxib</t>
  </si>
  <si>
    <t>streptomycin</t>
  </si>
  <si>
    <t>Sulindac</t>
  </si>
  <si>
    <t>Terbinafine</t>
  </si>
  <si>
    <t>inFLIXimab</t>
  </si>
  <si>
    <t>Cimetidine</t>
  </si>
  <si>
    <t>Oxybutynin</t>
  </si>
  <si>
    <t>Mirtazapine</t>
  </si>
  <si>
    <t>Polymyxin B</t>
  </si>
  <si>
    <t>succinylcholine</t>
  </si>
  <si>
    <t>OXcarbazepine</t>
  </si>
  <si>
    <t>levothyroxine</t>
  </si>
  <si>
    <t>nortriptyline</t>
  </si>
  <si>
    <t>propofol</t>
  </si>
  <si>
    <t>olmesartan</t>
  </si>
  <si>
    <t>Famotidine</t>
  </si>
  <si>
    <t>oseltamivir</t>
  </si>
  <si>
    <t>Tizanidine</t>
  </si>
  <si>
    <t>Scopolamine</t>
  </si>
  <si>
    <t>cefepime</t>
  </si>
  <si>
    <t>omega-3 polyunsaturated fatty acids</t>
  </si>
  <si>
    <t>penicillAMINE</t>
  </si>
  <si>
    <t>Benzonatate</t>
  </si>
  <si>
    <t>donepezil</t>
  </si>
  <si>
    <t>doxazosin</t>
  </si>
  <si>
    <t>Meclizine</t>
  </si>
  <si>
    <t>nystatin</t>
  </si>
  <si>
    <t>Atropine</t>
  </si>
  <si>
    <t>hydrocortisone</t>
  </si>
  <si>
    <t>Rosiglitazone</t>
  </si>
  <si>
    <t>loracarbef</t>
  </si>
  <si>
    <t>digoxin</t>
  </si>
  <si>
    <t>Quinidine</t>
  </si>
  <si>
    <t>Captopril</t>
  </si>
  <si>
    <t>azaTHIOprine</t>
  </si>
  <si>
    <t>Temazepam</t>
  </si>
  <si>
    <t>ibandronate</t>
  </si>
  <si>
    <t>niacin,Nicotinic acid;Niacin</t>
  </si>
  <si>
    <t>acyclovir;Acyclovir</t>
  </si>
  <si>
    <t>Benazepril;amLODIPine-benazepril</t>
  </si>
  <si>
    <t>Sulfadiazine</t>
  </si>
  <si>
    <t>Diphenhydramine</t>
  </si>
  <si>
    <t>Metronidazole</t>
  </si>
  <si>
    <t>Hydromorphone</t>
  </si>
  <si>
    <t>Prednisone</t>
  </si>
  <si>
    <t>Lorazepam</t>
  </si>
  <si>
    <t>Ceftriaxone</t>
  </si>
  <si>
    <t>Epinephrine</t>
  </si>
  <si>
    <t>Albuterol</t>
  </si>
  <si>
    <t>Phenobarbital</t>
  </si>
  <si>
    <t>Lamotrigine</t>
  </si>
  <si>
    <t>Cefazolin</t>
  </si>
  <si>
    <t>Quetiapine</t>
  </si>
  <si>
    <t>Chlorpromazine</t>
  </si>
  <si>
    <t>Nifedipine</t>
  </si>
  <si>
    <t>Quinine</t>
  </si>
  <si>
    <t>Tetanus Immune Globulin</t>
  </si>
  <si>
    <t>Aripiprazole</t>
  </si>
  <si>
    <t>Methylprednisolone</t>
  </si>
  <si>
    <t>Hydroxyzine</t>
  </si>
  <si>
    <t>Cefadroxil</t>
  </si>
  <si>
    <t>Pantoprazole</t>
  </si>
  <si>
    <t>Fexofenadine</t>
  </si>
  <si>
    <t>Montelukast</t>
  </si>
  <si>
    <t>Hydralazine</t>
  </si>
  <si>
    <t>Phenazopyridine</t>
  </si>
  <si>
    <t>Methocarbamol</t>
  </si>
  <si>
    <t>Cefixime</t>
  </si>
  <si>
    <t>Tuberculin PPD</t>
  </si>
  <si>
    <t>Enoxaparin</t>
  </si>
  <si>
    <t>Theophylline</t>
  </si>
  <si>
    <t>Methadone</t>
  </si>
  <si>
    <t>Baclofen</t>
  </si>
  <si>
    <t>Methotrexate</t>
  </si>
  <si>
    <t>Ascorbic acid</t>
  </si>
  <si>
    <t>Olanzapine</t>
  </si>
  <si>
    <t>Sulfasalazine</t>
  </si>
  <si>
    <t>Valdecoxib</t>
  </si>
  <si>
    <t>Streptomycin</t>
  </si>
  <si>
    <t>Infliximab</t>
  </si>
  <si>
    <t>Succinylcholine</t>
  </si>
  <si>
    <t>Oxcarbazepine</t>
  </si>
  <si>
    <t>Levothyroxine</t>
  </si>
  <si>
    <t>Nortriptyline</t>
  </si>
  <si>
    <t>Propofol</t>
  </si>
  <si>
    <t>Olmesartan</t>
  </si>
  <si>
    <t>Oseltamivir</t>
  </si>
  <si>
    <t>Cefepime</t>
  </si>
  <si>
    <t>Omega-3 Fatty Acids</t>
  </si>
  <si>
    <t>Penicillamine</t>
  </si>
  <si>
    <t>Donepezil</t>
  </si>
  <si>
    <t>Doxazosin</t>
  </si>
  <si>
    <t>Nystatin</t>
  </si>
  <si>
    <t>Hydrocortisone</t>
  </si>
  <si>
    <t>Loracarbef</t>
  </si>
  <si>
    <t>Digoxin</t>
  </si>
  <si>
    <t>Azathioprine</t>
  </si>
  <si>
    <t>Ibandronate</t>
  </si>
  <si>
    <t>Metoclopramide;Metoclopramide,Reglan</t>
  </si>
  <si>
    <t>Prochlorperazine;Prochlorperazine,Compazine</t>
  </si>
  <si>
    <t>N0000029130|ACE INHIBITORS</t>
  </si>
  <si>
    <t>N0000029118|BETA BLOCKERS/RELATED</t>
  </si>
  <si>
    <t>N0000029136|OPIOID ANALGESICS</t>
  </si>
  <si>
    <t>N0000029071|ANTIHISTAMINES</t>
  </si>
  <si>
    <t>N0000029145|ANTICONVULSANTS</t>
  </si>
  <si>
    <t>??N0000011281|Penicillins</t>
  </si>
  <si>
    <t>N0000029081|ERYTHROMYCINS/MACROLIDES</t>
  </si>
  <si>
    <t>N0000183553|QUINOLONES;N0000007606|Quinolones</t>
  </si>
  <si>
    <t>??N0000011161|Cephalosporins</t>
  </si>
  <si>
    <t>N0000029083|AMINOGLYCOSIDES ;??N0000007853|Aminoglycosides</t>
  </si>
  <si>
    <t>N0000029144 |BENZODIAZEPINE DERIVATIVE SEDATIVES/HYPNOTICS</t>
  </si>
  <si>
    <t>N0000029151|PHENOTHIAZINE/RELATED ANTIPSYCHOTICS</t>
  </si>
  <si>
    <t>N0000029076|PENICILLINS AND BETA-LACTAM ANTIMICROBIALS</t>
  </si>
  <si>
    <t>N0000029178|ADRENAL CORTICOSTEROIDS+N0000029179|ANDROGENS/ANABOLICS;??N0000007720|Steroids</t>
  </si>
  <si>
    <t>N0000029122|ANTILIPEMIC AGENTS;??N0000167954|Hydroxymethylglutaryl CoA Reductases</t>
  </si>
  <si>
    <t>N0000029082 |TETRACYCLINES</t>
  </si>
  <si>
    <t>??N0000007802|Iodine Compounds</t>
  </si>
  <si>
    <t>N0000029137|NON-STEROIDAL ANTI-INFLAMMATORY ANALGESICS</t>
  </si>
  <si>
    <t>N0000029087|SULFONAMIDE/RELATED ANTIMICROBIALS;</t>
  </si>
  <si>
    <t>For International, where snomed/rxnorm may be limited, ATC codes may not align well.  Otherwise, the semantics of RxNorm/SNOMED/UNII agree well with a 1:1 mapping at the ingredient level</t>
  </si>
  <si>
    <t>Any medication containing a type of Penicillin - inclusive of aminopenicillins, not inclusive of cephalosporins or other beta-lactams</t>
  </si>
  <si>
    <t>Ingredient allergies like 'penicillin G'</t>
  </si>
  <si>
    <t>6|narcotic analgesics</t>
  </si>
  <si>
    <t>147|antihistamines</t>
  </si>
  <si>
    <t>37|macrolide antibiotics</t>
  </si>
  <si>
    <t>48|benzodiazepines</t>
  </si>
  <si>
    <t>64|phenothiazines</t>
  </si>
  <si>
    <t>Not clear how to negate, or clarify.  E.g. patient does NOT have an allergy to Penicillins.</t>
  </si>
  <si>
    <t>Send an allergy observation statement with observation (i.e. recorded by user xx and date time xx) semantics of 'the patient has allergy/intolerance' and value semantics is &lt;nothing known&gt;.</t>
  </si>
  <si>
    <t>Related??</t>
  </si>
  <si>
    <t xml:space="preserve">If list had allergies marked erroneous or inactive, thus  resulting in conclusion list with No Known, then need clarity that sending system should also send informaiton on the other erroneous/inactive allergy </t>
  </si>
  <si>
    <t>Also Need effective way to communicate that a list was reviewed, and hasn't changed, thus updating the timestamps of all observations</t>
  </si>
  <si>
    <t>What to do for non IHTSDO countries?  Should HL7 define this terminology?</t>
  </si>
  <si>
    <t xml:space="preserve">Send an allergy observation statement with observation semantic of 'patient has allery/intolerance to:" and observation value semantics of "some (food|environment|medication) substance&gt;, xx" where xx is freetext as it was entered in the ui, but where standard coding could not be translated adequately.  If UI terminology has a code, or more granular representation in a reference term is known, system should send that, but not required.   </t>
  </si>
  <si>
    <t xml:space="preserve">Are there other major classes that need clarification (e.g. Freetext Procedure Substance or Freetext Vaccine substance)? </t>
  </si>
  <si>
    <t>Record specific substances which are commonly used in medical procedures that need to be avoided.  These are often called out /highlighted specially with Y/N to explicitly assert that question has been asked and explicitly record negations</t>
  </si>
  <si>
    <t>Send allergy observation statement with observation semantics 'the patient has allergy/intolerance to:' and value semanitcs of  '&lt;substance&gt;'.</t>
  </si>
  <si>
    <r>
      <t xml:space="preserve">To make negations more clear and easier to use and comprehend, suggest 'flag on the observation' that negates the question semantics to 'the patient </t>
    </r>
    <r>
      <rPr>
        <b/>
        <sz val="11"/>
        <color theme="1"/>
        <rFont val="Calibri"/>
        <family val="2"/>
        <scheme val="minor"/>
      </rPr>
      <t>denies</t>
    </r>
    <r>
      <rPr>
        <sz val="11"/>
        <color theme="1"/>
        <rFont val="Calibri"/>
        <family val="2"/>
        <scheme val="minor"/>
      </rPr>
      <t xml:space="preserve"> allergy/intolerance to:'  however this would be a different pattern than NKDA, where sending explicit codes is much more common.  </t>
    </r>
  </si>
  <si>
    <t>Contrast Media and adhesive is deliberately vague here simply because patients report it this way.  Should this be limited to Iodine based or IV forms of contrast?</t>
  </si>
  <si>
    <t>Any tape or patch or bandage containing adhesive (?? I think the issue is typically actually the mechanical bonding as opposed to a particular chemical??).  Purpose is to avoid use of these items where possible</t>
  </si>
  <si>
    <t>Send an allergy observation statement with observation semantics 'the patient has allergy/intolerance to:' and value semantics of some &lt;substance class&gt;.</t>
  </si>
  <si>
    <t>Indicate that the patient/caregiver has indicated allergy or intolerance to an entire class of drug.  Intent is Ordered/Prescribed drug should trigger warning if attempt to order/verify, or administer any medication where that med contains an ingredient falls within the allergy class.</t>
  </si>
  <si>
    <t>NDFRT semantics don't often match use case.  E.g. difficult to say 'Cephalosporins' without specifying generation.  Could be my missunderstanding of NDF-RT</t>
  </si>
  <si>
    <t>Use case of patient/caregiver reporting seems likely broader than 'anabolic' or 'corticosteroids' alone</t>
  </si>
  <si>
    <t xml:space="preserve">Record an allergy observation statement with the observation semantics 'patient has allergy/intolerace to:" and the value semantics of &lt;ingredient substance&gt;'.    </t>
  </si>
  <si>
    <t xml:space="preserve">Encourage systems to send records for each RxNorm generic single ingredients separately rather than combinations, because that is what is typically what is going understood and matched.  </t>
  </si>
  <si>
    <t xml:space="preserve">Discourage sending the salted ingredients, substance form, combos, brands form, or SCDs, products, etc. as the 'standard' code.  </t>
  </si>
  <si>
    <t>Instead send  the original details of any user interface term as 'recorded as' (which might be brand, combo, etc) and translated to individual ingredients.  Receiving system, should trigger/match of standard coding, but should also show further details of 'recorded as', etc to end users.  If the receiving system can trigger/match off more granular coding it can/should, but sending systems should not assume this.</t>
  </si>
  <si>
    <t>Create cross map between terminologies to help with hierarchy issues.  Eg. Use RxNorm and UNII for match actual orderable med or prescription action to warning, but consider use of SNOMED to map into class hierarchy for better clarity over how ingredients relate to classes.</t>
  </si>
  <si>
    <t>How to send negation records and/or other comment of evidence indicating that there is no allergy('eg patient is tolerating', 'patient denies, etc).  ??flag to indicate observation semantics 'patient denies allergy/intolerance to:'?  ??different observation codes??</t>
  </si>
  <si>
    <t>Record allergy observation statement with observtaion semantics 'patient has allergy/intolerace to:' and value semantics '&lt;substance&gt;'.</t>
  </si>
  <si>
    <t>Keep substance at high level of abstraction reflecting the way patients/caregivers make statements.   Match in dietary systems to alert food preparation, which detail comments to indicate details of what might be ok (e.g. avoid dairy, but 'goat cheese ok')</t>
  </si>
  <si>
    <t>Need more clarity on use cases, and need for more granular breakdown of items like 'seafood'.  E.g. if patient indicated 'fish' should that trigger dietician to avoid shellfish?  If not, then better to split.  If so, then higher level 'Seafood' is sufficient</t>
  </si>
  <si>
    <t>Send allergy/intolerance observation satement with observation semantics 'the patient has allergy/intolerance to:' and value semantics of &lt;substance group&gt;.  Send very granular vaccine proteins in 'recorded as'</t>
  </si>
  <si>
    <t>Do these really need to be encoded at all?   What should a system do with this info?</t>
  </si>
  <si>
    <t>Send statement with semantics 'the patient has allergy/intolerance to:' and value semantics of &lt;substance&gt; at very high level.</t>
  </si>
  <si>
    <t>Seasonal' doesn't fit the semantics of 'substance'  Can this be moved to 'Pollen'</t>
  </si>
  <si>
    <t xml:space="preserve">A lot of different ways to represent things here.  Questionable value.  </t>
  </si>
  <si>
    <t>d00015|ibuprofen</t>
  </si>
  <si>
    <t>d00379|sulfaSALAzine</t>
  </si>
  <si>
    <t>d00011|ciprofloxacin</t>
  </si>
  <si>
    <t>d00017|meperidine</t>
  </si>
  <si>
    <t>d00096|cephalexin</t>
  </si>
  <si>
    <t>d04405|clavulanate</t>
  </si>
  <si>
    <t>d04109|levofloxacin</t>
  </si>
  <si>
    <t>d00329|oxyCODONE</t>
  </si>
  <si>
    <t>d03826|traMADol</t>
  </si>
  <si>
    <t>d00732|lisinopril</t>
  </si>
  <si>
    <t>d00091|azithromycin</t>
  </si>
  <si>
    <t>d00019|naproxen</t>
  </si>
  <si>
    <t>d00081|cefaclor</t>
  </si>
  <si>
    <t>d00043|clindamycin</t>
  </si>
  <si>
    <t>d00097|clarithromycin</t>
  </si>
  <si>
    <t>d00355|prochlorperazine</t>
  </si>
  <si>
    <t>d00212|diphenhydrAMINE</t>
  </si>
  <si>
    <t>d00273|ketorolac</t>
  </si>
  <si>
    <t>d00787|promethazine</t>
  </si>
  <si>
    <t>Codes</t>
  </si>
  <si>
    <t>Coverage</t>
  </si>
  <si>
    <t>Total</t>
  </si>
  <si>
    <t>Describe the 95+% use case for coding in allergy transactions</t>
  </si>
  <si>
    <t>When does it apply</t>
  </si>
  <si>
    <t>How it will typically be used</t>
  </si>
  <si>
    <t>When it overlaps with another codes, which items should/shouldn't be sent</t>
  </si>
  <si>
    <t>How to interpret overlapping codes when meaning received.</t>
  </si>
  <si>
    <t>Establish an appropriate valueset that can be maintained for this purpose.</t>
  </si>
  <si>
    <t>~45 million Allergy transactions were queried from Cerner Healthe Record, and grouped by 'standard coding', or local codes not otherwise mapped to standard coding to give rough counts by code.</t>
  </si>
  <si>
    <t>The 307 items were prioritized by transaction frequency.</t>
  </si>
  <si>
    <t>The 307 items were coded using appropriate standards (Count / Percent total).</t>
  </si>
  <si>
    <t>Methods</t>
  </si>
  <si>
    <t>The top 667 codes, representing ~95% of all transactions, were manually classified by type (Negation, Freetext, Procedure Flag, MedClass, Medication, Food, Vaccine, or Environment)</t>
  </si>
  <si>
    <t>Codes cover</t>
  </si>
  <si>
    <t>d04105|atorvastatin</t>
  </si>
  <si>
    <t>d00125|vancomycin</t>
  </si>
  <si>
    <t>d00112|nitrofurantoin</t>
  </si>
  <si>
    <t>d00041|tetracycline</t>
  </si>
  <si>
    <t>d00255|HYDROmorphone</t>
  </si>
  <si>
    <t>d00298|metoclopramide</t>
  </si>
  <si>
    <t>d00037|doxycycline</t>
  </si>
  <si>
    <t>d00350|predniSONE</t>
  </si>
  <si>
    <t>d04380|celecoxib</t>
  </si>
  <si>
    <t>d00108|metroNIDAZOLE</t>
  </si>
  <si>
    <t>d00746|simvastatin</t>
  </si>
  <si>
    <t>d00003|ampicillin</t>
  </si>
  <si>
    <t>d03182|gabapentin</t>
  </si>
  <si>
    <t>d00314|niacin</t>
  </si>
  <si>
    <t>d00689|amLODIPine</t>
  </si>
  <si>
    <t>d00027|haloperidol</t>
  </si>
  <si>
    <t>d00360|propoxyphene</t>
  </si>
  <si>
    <t>d00181|buPROPion</t>
  </si>
  <si>
    <t>d04500|moxifloxacin</t>
  </si>
  <si>
    <t>d04256|cefdinir</t>
  </si>
  <si>
    <t>Names were manually reviewed for duplicate meaning where possible standardized to a common name.  Additionally medications with various brand forms, salts, combos and routed forms, and clinical dosed drugs were mapped to base ingrediants.  This yielding 307 items</t>
  </si>
  <si>
    <t>transaction semantics vs terminology semantics (e.g. use 'substance' or 'allergy to substance')</t>
  </si>
  <si>
    <t>Outline issues and important topics related to code use for discussion and harmonization.</t>
  </si>
  <si>
    <t>Brand Ingredient</t>
  </si>
  <si>
    <t>Ingredient</t>
  </si>
  <si>
    <t>meperidine;Meperidine,Demerol,Demerol HCl</t>
  </si>
  <si>
    <t>Azithromycin;Azithromycin,Zithromax</t>
  </si>
  <si>
    <t>HYDROmorphone;Hydromorphone,Dilaudid</t>
  </si>
  <si>
    <t>Celecoxib;celecoxib,Celebrex</t>
  </si>
  <si>
    <t>metroNIDAZOLE;Metronidazole,Flagyl</t>
  </si>
  <si>
    <t>moxifloxacin;moxifloxacin,Avelox</t>
  </si>
  <si>
    <t>naproxen;Naproxen,Aleve,Naprosyn</t>
  </si>
  <si>
    <t>8610| Povidone;8611 Povidone-Iodine</t>
  </si>
  <si>
    <t>Gabapentin;gabapentin,Neurontin</t>
  </si>
  <si>
    <t>morphine;morphine,Morphine Sulfate</t>
  </si>
  <si>
    <t>clindamycin,clindamycin topical;Clindamycin</t>
  </si>
  <si>
    <t>;Aspirin / Calcium Carbonate</t>
  </si>
  <si>
    <t>Calcium Carbonate</t>
  </si>
  <si>
    <t>Polymyxin B,bacitracin/neomycin/polymyxin B topical;Bacitracin / Neomycin / Polymyxin B</t>
  </si>
  <si>
    <t>fluticasone-salmeterol</t>
  </si>
  <si>
    <t>Fluticasone</t>
  </si>
  <si>
    <t>Salmeterol</t>
  </si>
  <si>
    <t>Hydrochlorothiazide,hydrochlorothiazide-triamterene;Hydrochlorothiazide</t>
  </si>
  <si>
    <t>hydrochlorothiazide-triamterene</t>
  </si>
  <si>
    <t>Triamterene</t>
  </si>
  <si>
    <t>erythromycin,erythromycin 500 mg oral tablet,erythromycin-sulfiSOXAZOLE;erythromycin,Erythromycin Base</t>
  </si>
  <si>
    <t>erythromycin-sulfiSOXAZOLE</t>
  </si>
  <si>
    <t>Simvastatin,ezetimibe-simvastatin;Simvastatin,Zocor</t>
  </si>
  <si>
    <t>diphenhydrAMINE,diphenhydrAMINE-pseudoephedrine;Diphenhydramine,Benadryl</t>
  </si>
  <si>
    <t>povidone iodine topical,Povidone iodine;Povidone-Iodine,Betadine</t>
  </si>
  <si>
    <t>iodine,povidone iodine topical,iodine topical,iodine 2% topical liquid,Povidone iodine</t>
  </si>
  <si>
    <t>acetaminophen-HYDROcodone,acetaminophen-oxyCODONE,Acetaminophen,acetaminophen-propoxyphene,acetaminophen-codeine,Vicodin 5 mg-300 mg oral tablet;Acetaminophen / Hydrocodone,Vicodin,Acetaminophen,Acetaminophen / Propoxyphene,Acetaminophen / Oxycodone,Acetaminophen / Codeine,Tylenol,Percocet,Acetaminophen / Codeine,acetaminophen-traMADol</t>
  </si>
  <si>
    <t>aspirin,aspirin-oxyCODONE,aspirin 81 mg oral tablet,aspirin/butalbital/caffeine/codeine;aspirin,Aspirin / Calcium Carbonate,Aspirin / Oxycodone</t>
  </si>
  <si>
    <t>aspirin/butalbital/caffeine/codeine</t>
  </si>
  <si>
    <t>butalbital</t>
  </si>
  <si>
    <t>EPINEPHrine;Epinephrine</t>
  </si>
  <si>
    <t>Tramadol,acetaminophen-traMADol;Tramadol,Ultram</t>
  </si>
  <si>
    <t>sulfADIAZINE;sulfADIAZINE</t>
  </si>
  <si>
    <t>Valproic acid;Valproate</t>
  </si>
  <si>
    <t>Valproate</t>
  </si>
  <si>
    <t>hydrALAZINE;Hydralazine</t>
  </si>
  <si>
    <t>Nitrofurantoin;Nitrofurantoin,Macrobid,Macrodantin</t>
  </si>
  <si>
    <t>tetanus immune globulin;Tetanus immune globulin, human</t>
  </si>
  <si>
    <t>ciprofloxacin,Cipro 500 mg oral tablet;Ciprofloxacin,Cipro</t>
  </si>
  <si>
    <t>codeine,acetaminophen-codeine,aspirin/butalbital/caffeine/codeine,codeine sulfate 60 mg oral tablet;codeine,Codeine Phosphate,Acetaminophen / Codeine</t>
  </si>
  <si>
    <t>cefaclor,Ceclor Pulvules 500 mg oral capsule;Cefaclor,Ceclor</t>
  </si>
  <si>
    <t>amoxicillin,Amoxycillin allergy,amoxicillin 875 mg oral tablet,amoxicillin 500 mg oral capsule;amoxicillin,Augmentin</t>
  </si>
  <si>
    <t>cephalexin,Keflex 500 mg oral capsule;Cephalexin, Keflex</t>
  </si>
  <si>
    <t>clarithromycin,Biaxin 500 mg oral tablet;Clarithromycin,Biaxin</t>
  </si>
  <si>
    <t>ibuprofen,ibuprofen 800 mg oral tablet;Ibuprofen,Motrin,Advil</t>
  </si>
  <si>
    <t>No known allergies,No known allergies (context-dependent category); NKA,No Known Allergies</t>
  </si>
  <si>
    <t>Latex;Latex,Latex Gloves,Latex Exam Gloves</t>
  </si>
  <si>
    <t>penicillins,penicillin,Penicillin -class of antibiotic-,Penicillin -class of antibiotic- (substance);Penicillin,penicillinsPENICILLIN AND DERIVATIVES,Penicillin,PCN</t>
  </si>
  <si>
    <t>Hydrocodone,acetaminophen-HYDROcodone,Vicodin 5 mg-300 mg oral tablet;Acetaminophen / Hydrocodone,Vicodin,Hydrocodone</t>
  </si>
  <si>
    <t>Sulfamethoxazole,sulfamethoxazole-trimethoprim,Bactrim 400 mg-80 mg oral tablet;Sulfamethoxazole / Trimethoprim,Sulfamethoxazole,Bactrim</t>
  </si>
  <si>
    <t>Oxycodone,acetaminophen-oxyCODONE,aspirin-oxyCODONE;Oxycodone,Percocet,Aspirin / Oxycodone</t>
  </si>
  <si>
    <t>phenytoin;Phenytoin,Dilantin</t>
  </si>
  <si>
    <t>Metformin;Metformin</t>
  </si>
  <si>
    <t>diazepam;Diazepam,Valium</t>
  </si>
  <si>
    <t>LORazepam;Lorazepam,Ativan</t>
  </si>
  <si>
    <t>Sumatriptan;Sumatriptan,Imitrex</t>
  </si>
  <si>
    <t>Procaine;Procaine</t>
  </si>
  <si>
    <t>zolpidem;zolpidem,Ambien</t>
  </si>
  <si>
    <t>Sertraline;Sertraline</t>
  </si>
  <si>
    <t>cyclobenzaprine;cyclobenzaprine</t>
  </si>
  <si>
    <t>pregabalin;pregabalin,Lyrica</t>
  </si>
  <si>
    <t>lidocaine,lidocaine topical;Lidocaine</t>
  </si>
  <si>
    <t>cefTRIAXone;Ceftriaxone,Rocephin</t>
  </si>
  <si>
    <t>Pseudoephedrine,diphenhydrAMINE-pseudoephedrine;Pseudoephedrine</t>
  </si>
  <si>
    <t>cefuroxime;Cefuroxime,Ceftin</t>
  </si>
  <si>
    <t>heparin,heparin\, porcine</t>
  </si>
  <si>
    <t>Rofecoxib;rofecoxib,Vioxx</t>
  </si>
  <si>
    <t>Duloxetine;duloxetine</t>
  </si>
  <si>
    <t>Metoprolol;Metoprolol</t>
  </si>
  <si>
    <t>Carbamazepine;Carbamazepine</t>
  </si>
  <si>
    <t>Amitriptyline;Amitriptyline</t>
  </si>
  <si>
    <t>cortisone;cortisone</t>
  </si>
  <si>
    <t>ondansetron;Ondansetron,Zofran</t>
  </si>
  <si>
    <t>propoxyphene,Dextropropoxyphene;Propoxyphene,Darvon,Darvocet-N 100</t>
  </si>
  <si>
    <t>albuterol;albuterol</t>
  </si>
  <si>
    <t>clopidogrel;clopidogrel</t>
  </si>
  <si>
    <t>Trazodone;Trazodone</t>
  </si>
  <si>
    <t>rosuvastatin,Rosuvastatin calcium;Crestor</t>
  </si>
  <si>
    <t>cefprozil</t>
  </si>
  <si>
    <t>meloxicam;meloxicam</t>
  </si>
  <si>
    <t>PHENobarbital;Phenobarbital</t>
  </si>
  <si>
    <t>lamoTRIgine</t>
  </si>
  <si>
    <t>enalapril;enalapril</t>
  </si>
  <si>
    <t>ceFAZolin;Cefazolin</t>
  </si>
  <si>
    <t>midazolam</t>
  </si>
  <si>
    <t>ofloxacin</t>
  </si>
  <si>
    <t>butorphanol;Butorphanol,Stadol</t>
  </si>
  <si>
    <t>Neomycin,bacitracin/neomycin/polymyxin B topical;Bacitracin / Neomycin / Polymyxin B</t>
  </si>
  <si>
    <t>warfarin</t>
  </si>
  <si>
    <t>minocycline;Minocycline</t>
  </si>
  <si>
    <t>pentazocine;Pentazocine</t>
  </si>
  <si>
    <t>Guaifenesin;Guaifenesin</t>
  </si>
  <si>
    <t>Bacitracin,bacitracin/neomycin/polymyxin B topical;Bacitracin / Neomycin / Polymyxin B</t>
  </si>
  <si>
    <t>QUEtiapine</t>
  </si>
  <si>
    <t>chlorproMAZINE</t>
  </si>
  <si>
    <t>NIFEdipine;Nifedipine</t>
  </si>
  <si>
    <t>indomethacin</t>
  </si>
  <si>
    <t>alendronate,Alendronate sodium - chemical</t>
  </si>
  <si>
    <t>quiNINE;Quinine</t>
  </si>
  <si>
    <t>nitroglycerin;Nitroglycerin</t>
  </si>
  <si>
    <t>Clonidine;Clonidine</t>
  </si>
  <si>
    <t>Ezetimibe,ezetimibe-simvastatin</t>
  </si>
  <si>
    <t>lithium</t>
  </si>
  <si>
    <t>fluticasone-salmeterol,fluticasone nasal</t>
  </si>
  <si>
    <t>esomeprazole</t>
  </si>
  <si>
    <t>ARIPiprazole</t>
  </si>
  <si>
    <t>methylPREDNISolone;Methylprednisolone</t>
  </si>
  <si>
    <t>carisoprodol</t>
  </si>
  <si>
    <t>etodolac</t>
  </si>
  <si>
    <t>gatifloxacin</t>
  </si>
  <si>
    <t>Iodine Prep</t>
  </si>
  <si>
    <t>chlorhexidine topical</t>
  </si>
  <si>
    <t>Chlorhexidine</t>
  </si>
  <si>
    <t>isopropyl alcohol topical</t>
  </si>
  <si>
    <t>Isopropyl alcohol</t>
  </si>
  <si>
    <t>Other considerations</t>
  </si>
  <si>
    <t>(under ingredients Iodine and Providine)</t>
  </si>
  <si>
    <t>d00312|neomycin</t>
  </si>
  <si>
    <t>d01115|bacitracin</t>
  </si>
  <si>
    <t>d00143|phenytoin</t>
  </si>
  <si>
    <t>d00253|hydrochlorothiazide</t>
  </si>
  <si>
    <t>d00344|polymyxin B sulfate</t>
  </si>
  <si>
    <t>d00148|diazepam</t>
  </si>
  <si>
    <t>maintenance issues.  If terms get deprecated, how does code keep in sync</t>
  </si>
  <si>
    <t>2670 | Codeine</t>
  </si>
  <si>
    <t>161 | Acetaminophen</t>
  </si>
  <si>
    <t>7052 | Morphine</t>
  </si>
  <si>
    <t>723 | Amoxicillin</t>
  </si>
  <si>
    <t>1191 | Aspirin</t>
  </si>
  <si>
    <t>5489 | Hydrocodone</t>
  </si>
  <si>
    <t>10180 | Sulfamethoxazole</t>
  </si>
  <si>
    <t>4053 | Erythromycin</t>
  </si>
  <si>
    <t>10829 | Trimethoprim</t>
  </si>
  <si>
    <t>5640 | Ibuprofen</t>
  </si>
  <si>
    <t>10171 | Sulfadiazine</t>
  </si>
  <si>
    <t>2551 | Ciprofloxacin</t>
  </si>
  <si>
    <t>6754 | Meperidine</t>
  </si>
  <si>
    <t>2231 | Cephalexin</t>
  </si>
  <si>
    <t>7804 | Oxycodone</t>
  </si>
  <si>
    <t>21216 | Clavulanic Acid</t>
  </si>
  <si>
    <t>82122 | Levofloxacin</t>
  </si>
  <si>
    <t>10689 | Tramadol</t>
  </si>
  <si>
    <t>29046 | Lisinopril</t>
  </si>
  <si>
    <t>18631 | Azithromycin</t>
  </si>
  <si>
    <t>7258 | Naproxen</t>
  </si>
  <si>
    <t>2176 | Cefaclor</t>
  </si>
  <si>
    <t>3498 | Diphenhydramine</t>
  </si>
  <si>
    <t>2582 | Clindamycin</t>
  </si>
  <si>
    <t>21212 | Clarithromycin</t>
  </si>
  <si>
    <t>7454 | Nitrofurantoin</t>
  </si>
  <si>
    <t>8704 | Prochlorperazine</t>
  </si>
  <si>
    <t>35827 | Ketorolac</t>
  </si>
  <si>
    <t>8745 | Promethazine</t>
  </si>
  <si>
    <t>83367 | atorvastatin</t>
  </si>
  <si>
    <t>11124 | Vancomycin</t>
  </si>
  <si>
    <t>3423 | Hydromorphone</t>
  </si>
  <si>
    <t>10395 | Tetracycline</t>
  </si>
  <si>
    <t>6915 | Metoclopramide</t>
  </si>
  <si>
    <t>3640 | Doxycycline</t>
  </si>
  <si>
    <t>8785 | Propoxyphene</t>
  </si>
  <si>
    <t>140587 | celecoxib</t>
  </si>
  <si>
    <t>36567 | Simvastatin</t>
  </si>
  <si>
    <t>6922 | Metronidazole</t>
  </si>
  <si>
    <t>8640 | Prednisone</t>
  </si>
  <si>
    <t>733 | Ampicillin</t>
  </si>
  <si>
    <t>25480 | gabapentin</t>
  </si>
  <si>
    <t>7299 | Neomycin</t>
  </si>
  <si>
    <t>1291 | Bacitracin</t>
  </si>
  <si>
    <t>7393 | Niacin</t>
  </si>
  <si>
    <t>17767 | Amlodipine</t>
  </si>
  <si>
    <t>139462 | moxifloxacin</t>
  </si>
  <si>
    <t>5093 | Haloperidol</t>
  </si>
  <si>
    <t>42347 | Bupropion</t>
  </si>
  <si>
    <t>8183 | Phenytoin</t>
  </si>
  <si>
    <t>5487 | Hydrochlorothiazide</t>
  </si>
  <si>
    <t>8536 | Polymyxin B</t>
  </si>
  <si>
    <t>3322 | Diazepam</t>
  </si>
  <si>
    <t>25037 | cefdinir</t>
  </si>
  <si>
    <t>187832 | pregabalin</t>
  </si>
  <si>
    <t>4337 | Fentanyl</t>
  </si>
  <si>
    <t>6387 | Lidocaine</t>
  </si>
  <si>
    <t>39993 | zolpidem</t>
  </si>
  <si>
    <t>37418 | Sumatriptan</t>
  </si>
  <si>
    <t>6809 | Metformin</t>
  </si>
  <si>
    <t>6470 | Lorazepam</t>
  </si>
  <si>
    <t>2193 | Ceftriaxone</t>
  </si>
  <si>
    <t>8896 | Pseudoephedrine</t>
  </si>
  <si>
    <t>2194 | Cefuroxime</t>
  </si>
  <si>
    <t>8701 | Procaine</t>
  </si>
  <si>
    <t>21949 | cyclobenzaprine</t>
  </si>
  <si>
    <t>26225 | Ondansetron</t>
  </si>
  <si>
    <t>232158 | rofecoxib</t>
  </si>
  <si>
    <t>36437 | Sertraline</t>
  </si>
  <si>
    <t>7980 | Penicillin G</t>
  </si>
  <si>
    <t>5224 | Heparin</t>
  </si>
  <si>
    <t>2878 | Cortisone</t>
  </si>
  <si>
    <t>3992 | Epinephrine</t>
  </si>
  <si>
    <t>72625 | duloxetine</t>
  </si>
  <si>
    <t>6211 | Lactose</t>
  </si>
  <si>
    <t>301542 | rosuvastatin</t>
  </si>
  <si>
    <t>2002 | Carbamazepine</t>
  </si>
  <si>
    <t>435 | Albuterol</t>
  </si>
  <si>
    <t>704 | Amitriptyline</t>
  </si>
  <si>
    <t>1841 | Butorphanol</t>
  </si>
  <si>
    <t>6918 | Metoprolol</t>
  </si>
  <si>
    <t>8134 | Phenobarbital</t>
  </si>
  <si>
    <t>32968 | clopidogrel</t>
  </si>
  <si>
    <t>41493 | meloxicam</t>
  </si>
  <si>
    <t>10737 | Trazodone</t>
  </si>
  <si>
    <t>4493 | Fluoxetine</t>
  </si>
  <si>
    <t>32937 | Paroxetine</t>
  </si>
  <si>
    <t>2180 | Cefazolin</t>
  </si>
  <si>
    <t>3827 | Enalapril</t>
  </si>
  <si>
    <t>8001 | Pentazocine</t>
  </si>
  <si>
    <t>42463 | Pravastatin</t>
  </si>
  <si>
    <t>6980 | Minocycline</t>
  </si>
  <si>
    <t>281 | Acyclovir</t>
  </si>
  <si>
    <t>1897 | Calcium Carbonate</t>
  </si>
  <si>
    <t>19552 | cefprozil</t>
  </si>
  <si>
    <t>5032 | Guaifenesin</t>
  </si>
  <si>
    <t>46041 | Alendronate</t>
  </si>
  <si>
    <t>28439 | lamotrigine</t>
  </si>
  <si>
    <t>341248 | ezetimibe</t>
  </si>
  <si>
    <t>7646 | Omeprazole</t>
  </si>
  <si>
    <t>4917 | Nitroglycerin</t>
  </si>
  <si>
    <t>7417 | Nifedipine</t>
  </si>
  <si>
    <t>2599 | Clonidine</t>
  </si>
  <si>
    <t>9071 | Quinine</t>
  </si>
  <si>
    <t>6960 | Midazolam</t>
  </si>
  <si>
    <t>6902 | Methylprednisolone</t>
  </si>
  <si>
    <t>38404 | topiramate</t>
  </si>
  <si>
    <t>3443 | Diltiazem</t>
  </si>
  <si>
    <t>11289 | Warfarin</t>
  </si>
  <si>
    <t>10223 | Sulfur</t>
  </si>
  <si>
    <t>1202 | Atenolol</t>
  </si>
  <si>
    <t>2556 | Citalopram</t>
  </si>
  <si>
    <t>51272 | quetiapine</t>
  </si>
  <si>
    <t>35636 | Risperidone</t>
  </si>
  <si>
    <t>39786 | venlafaxine</t>
  </si>
  <si>
    <t>2403 | Chlorpromazine</t>
  </si>
  <si>
    <t>321988 | Escitalopram</t>
  </si>
  <si>
    <t>3355 | Diclofenac</t>
  </si>
  <si>
    <t>28889 | Loratadine</t>
  </si>
  <si>
    <t>7238 | Nalbuphine</t>
  </si>
  <si>
    <t>5781 | Indomethacin</t>
  </si>
  <si>
    <t>52175 | Losartan</t>
  </si>
  <si>
    <t>4603 | Furosemide</t>
  </si>
  <si>
    <t>41126 | fluticasone</t>
  </si>
  <si>
    <t>6448 | Lithium</t>
  </si>
  <si>
    <t>31448 | nabumetone</t>
  </si>
  <si>
    <t>5470 | Hydralazine</t>
  </si>
  <si>
    <t>9143 | Ranitidine</t>
  </si>
  <si>
    <t>4450 | Fluconazole</t>
  </si>
  <si>
    <t>18867 | benazepril</t>
  </si>
  <si>
    <t>283742 | Esomeprazole</t>
  </si>
  <si>
    <t>17128 | lansoprazole</t>
  </si>
  <si>
    <t>596 | Alprazolam</t>
  </si>
  <si>
    <t>89013 | aripiprazole</t>
  </si>
  <si>
    <t>6472 | Lovastatin</t>
  </si>
  <si>
    <t>703 | Amiodarone</t>
  </si>
  <si>
    <t>3648 | Droperidol</t>
  </si>
  <si>
    <t>69749 | valsartan</t>
  </si>
  <si>
    <t>7623 | Ofloxacin</t>
  </si>
  <si>
    <t>8339 | Piperacillin</t>
  </si>
  <si>
    <t>37617 | tazobactam</t>
  </si>
  <si>
    <t>2101 | Carisoprodol</t>
  </si>
  <si>
    <t>519 | Allopurinol</t>
  </si>
  <si>
    <t>24605 | Etodolac</t>
  </si>
  <si>
    <t>8356 | Piroxicam</t>
  </si>
  <si>
    <t>4124 | Ethinyl Estradiol</t>
  </si>
  <si>
    <t>6373 | Levonorgestrel</t>
  </si>
  <si>
    <t>8703 | Fenofibrate</t>
  </si>
  <si>
    <t>11170 | Verapamil</t>
  </si>
  <si>
    <t>228476 | gatifloxacin</t>
  </si>
  <si>
    <t>7984 | Penicillin V</t>
  </si>
  <si>
    <t>20610 | Cetirizine</t>
  </si>
  <si>
    <t>8787 | Propranolol</t>
  </si>
  <si>
    <t>35296 | Ramipril</t>
  </si>
  <si>
    <t>40254 | Valproate</t>
  </si>
  <si>
    <t>115698 | ziprasidone</t>
  </si>
  <si>
    <t>5553 | Hydroxyzine</t>
  </si>
  <si>
    <t>2177 | Cefadroxil</t>
  </si>
  <si>
    <t>40790 | pantoprazole</t>
  </si>
  <si>
    <t>591622 | varenicline</t>
  </si>
  <si>
    <t>36117 | salmeterol</t>
  </si>
  <si>
    <t>87636 | fexofenadine</t>
  </si>
  <si>
    <t>88249 | montelukast</t>
  </si>
  <si>
    <t>33738 | pioglitazone</t>
  </si>
  <si>
    <t>1827 | Buspirone</t>
  </si>
  <si>
    <t>32613 | oxaprozin</t>
  </si>
  <si>
    <t>4719 | Gemfibrozil</t>
  </si>
  <si>
    <t>5521 | Hydroxychloroquine</t>
  </si>
  <si>
    <t>77492 | tamsulosin</t>
  </si>
  <si>
    <t>9997 | Spironolactone</t>
  </si>
  <si>
    <t>8120 | Phenazopyridine</t>
  </si>
  <si>
    <t>6845 | Methocarbamol</t>
  </si>
  <si>
    <t>25033 | Cefixime</t>
  </si>
  <si>
    <t>20352 | carvedilol</t>
  </si>
  <si>
    <t>114477 | Levetiracetam</t>
  </si>
  <si>
    <t>6901 | Methylphenidate</t>
  </si>
  <si>
    <t>67108 | Enoxaparin</t>
  </si>
  <si>
    <t>35208 | quinapril</t>
  </si>
  <si>
    <t>10438 | Theophylline</t>
  </si>
  <si>
    <t>6813 | Methadone</t>
  </si>
  <si>
    <t>1292 | Baclofen</t>
  </si>
  <si>
    <t>59078 | metaxalone</t>
  </si>
  <si>
    <t>2598 | Clonazepam</t>
  </si>
  <si>
    <t>6851 | Methotrexate</t>
  </si>
  <si>
    <t>3264 | Dexamethasone</t>
  </si>
  <si>
    <t>1151 | Ascorbic Acid</t>
  </si>
  <si>
    <t>61381 | olanzapine</t>
  </si>
  <si>
    <t>9524 | Sulfasalazine</t>
  </si>
  <si>
    <t>3361 | Dicyclomine</t>
  </si>
  <si>
    <t>10763 | Triamterene</t>
  </si>
  <si>
    <t>73056 | Risedronate</t>
  </si>
  <si>
    <t>278567 | valdecoxib</t>
  </si>
  <si>
    <t>10109 | Streptomycin</t>
  </si>
  <si>
    <t>10237 | Sulindac</t>
  </si>
  <si>
    <t>37801 | terbinafine</t>
  </si>
  <si>
    <t>191831 | infliximab</t>
  </si>
  <si>
    <t>2541 | Cimetidine</t>
  </si>
  <si>
    <t>32675 | oxybutynin</t>
  </si>
  <si>
    <t>10207 | Sulfisoxazole</t>
  </si>
  <si>
    <t>15996 | Mirtazapine</t>
  </si>
  <si>
    <t>10154 | Succinylcholine</t>
  </si>
  <si>
    <t>32624 | oxcarbazepine</t>
  </si>
  <si>
    <t>7531 | Nortriptyline</t>
  </si>
  <si>
    <t>8782 | Propofol</t>
  </si>
  <si>
    <t>321064 | olmesartan</t>
  </si>
  <si>
    <t>4278 | Famotidine</t>
  </si>
  <si>
    <t>260101 | Oseltamivir</t>
  </si>
  <si>
    <t>57258 | tizanidine</t>
  </si>
  <si>
    <t>9601 | Scopolamine</t>
  </si>
  <si>
    <t>20481 | cefepime</t>
  </si>
  <si>
    <t>4301 | Omega-3 Fatty Acids</t>
  </si>
  <si>
    <t>7975 | Penicillamine</t>
  </si>
  <si>
    <t>19860 | butalbital</t>
  </si>
  <si>
    <t>1886 | Caffeine</t>
  </si>
  <si>
    <t>18993 | benzonatate</t>
  </si>
  <si>
    <t>135447 | donepezil</t>
  </si>
  <si>
    <t>49276 | Doxazosin</t>
  </si>
  <si>
    <t>6676 | Meclizine</t>
  </si>
  <si>
    <t>7597 | Nystatin</t>
  </si>
  <si>
    <t>1223 | Atropine</t>
  </si>
  <si>
    <t>5492 | Hydrocortisone</t>
  </si>
  <si>
    <t>84108 | rosiglitazone</t>
  </si>
  <si>
    <t>28981 | loracarbef</t>
  </si>
  <si>
    <t>3407 | Digoxin</t>
  </si>
  <si>
    <t>9068 | Quinidine</t>
  </si>
  <si>
    <t>1998 | Captopril</t>
  </si>
  <si>
    <t>1256 | Azathioprine</t>
  </si>
  <si>
    <t>10355 | Temazepam</t>
  </si>
  <si>
    <t>115264 | Ibandronate</t>
  </si>
  <si>
    <t>Sulfisoxazole</t>
  </si>
  <si>
    <t>142438 | Gentamicin Sulfate (USP)</t>
  </si>
  <si>
    <t>5933 | Iodine ; 8611 | Povidone-Iodine</t>
  </si>
  <si>
    <t>10582 | Thyroxine</t>
  </si>
  <si>
    <t>91603 | Tetanus immune globulin, human</t>
  </si>
  <si>
    <t xml:space="preserve">8948 | Purified Protein Derivative of Tuberculin
</t>
  </si>
  <si>
    <t>372729009 | Acyclovir (substance) |</t>
  </si>
  <si>
    <t>372897005 | Albuterol (substance) |</t>
  </si>
  <si>
    <t>96290008 | Alendronate (substance) |</t>
  </si>
  <si>
    <t>387135004 | Allopurinol (substance) |</t>
  </si>
  <si>
    <t>386983007 | Alprazolam (substance) |</t>
  </si>
  <si>
    <t>372821002 | Amiodarone (substance) |</t>
  </si>
  <si>
    <t>372726002 | Amitriptyline (substance) |</t>
  </si>
  <si>
    <t>406784005 | Aripiprazole (substance) |</t>
  </si>
  <si>
    <t>43706004 | Ascorbic acid (substance) |</t>
  </si>
  <si>
    <t>387506000 | Atenolol (substance) |</t>
  </si>
  <si>
    <t>372832002 | Atropine (substance) |</t>
  </si>
  <si>
    <t>372574004 | Azathioprine (substance) |</t>
  </si>
  <si>
    <t>5220000 | Bacitracin (substance) |</t>
  </si>
  <si>
    <t>387342009 | Baclofen (substance) |</t>
  </si>
  <si>
    <t>372511001 | Benazepril (substance) |</t>
  </si>
  <si>
    <t>31801005 | Benzonatate (substance) |</t>
  </si>
  <si>
    <t>387523009 | Buspirone (substance) |</t>
  </si>
  <si>
    <t>387563005 | Butalbital (substance) |</t>
  </si>
  <si>
    <t>373467000 | Butorphanol (substance) |</t>
  </si>
  <si>
    <t>387307005 | Calcium carbonate (substance) |</t>
  </si>
  <si>
    <t>387160004 | Captopril (substance) |</t>
  </si>
  <si>
    <t>387222003 | Carbamazepine (substance) |</t>
  </si>
  <si>
    <t>387133006 | Carisoprodol (substance) |</t>
  </si>
  <si>
    <t>386870007 | Carvedilol (substance) |</t>
  </si>
  <si>
    <t>372651006 | Cefadroxil (substance) |</t>
  </si>
  <si>
    <t>96048006 | Cefepime (substance) |</t>
  </si>
  <si>
    <t>387536009 | Cefixime (substance) |</t>
  </si>
  <si>
    <t>387538005 | Cefprozil (substance) |</t>
  </si>
  <si>
    <t>372670001 | Ceftriaxone (substance) |</t>
  </si>
  <si>
    <t>372833007 | Cefuroxime (substance) |</t>
  </si>
  <si>
    <t>372523007 | Cetirizine (substance) |</t>
  </si>
  <si>
    <t>387258005 | Chlorpromazine (substance) |</t>
  </si>
  <si>
    <t>373541007 | Cimetidine (substance) |</t>
  </si>
  <si>
    <t>372596005 | Citalopram (substance) |</t>
  </si>
  <si>
    <t>387383007 | Clonazepam (substance) |</t>
  </si>
  <si>
    <t>372805007 | Clonidine (substance) |</t>
  </si>
  <si>
    <t>386952008 | Clopidogrel (substance) |</t>
  </si>
  <si>
    <t>32498003 | Cortisone (substance) |</t>
  </si>
  <si>
    <t>373779004 | Cyclobenzaprine (substance) |</t>
  </si>
  <si>
    <t>372584003 | Dexamethasone (substance) |</t>
  </si>
  <si>
    <t>387264003 | Diazepam (substance) |</t>
  </si>
  <si>
    <t>7034005 | Diclofenac (substance) |</t>
  </si>
  <si>
    <t>372732007 | Dicyclomine (substance) |</t>
  </si>
  <si>
    <t>387461009 | Digoxin (substance) |</t>
  </si>
  <si>
    <t>372793000 | Diltiazem (substance) |</t>
  </si>
  <si>
    <t>386855006 | Donepezil (substance) |</t>
  </si>
  <si>
    <t>372508002 | Doxazosin (substance) |</t>
  </si>
  <si>
    <t>387146001 | Droperidol (substance) |</t>
  </si>
  <si>
    <t>407032004 | Duloxetine (substance) |</t>
  </si>
  <si>
    <t>372658000 | Enalapril (substance) |</t>
  </si>
  <si>
    <t>372562003 | Enoxaparin (substance) |</t>
  </si>
  <si>
    <t>387362001 | Epinephrine (substance) |</t>
  </si>
  <si>
    <t>400447003 | Escitalopram (substance) |</t>
  </si>
  <si>
    <t>396047003 | Esomeprazole (substance) |</t>
  </si>
  <si>
    <t>126097006 | Ethinyl estradiol (substance) |</t>
  </si>
  <si>
    <t>386860005 | Etodolac (substance) |</t>
  </si>
  <si>
    <t>409149001 | Ezetimibe (substance) |</t>
  </si>
  <si>
    <t>387211002 | Famotidine (substance) |</t>
  </si>
  <si>
    <t>386879008 | Fenofibrate (substance) |</t>
  </si>
  <si>
    <t>373492002 | Fentanyl (substance) |</t>
  </si>
  <si>
    <t>372522002 | Fexofenadine (substance) |</t>
  </si>
  <si>
    <t>387174006 | Fluconazole (substance) |</t>
  </si>
  <si>
    <t>372767007 | Fluoxetine (substance) |</t>
  </si>
  <si>
    <t>397192001 | Fluticasone (substance) |</t>
  </si>
  <si>
    <t>387475002 | Furosemide (substance) |</t>
  </si>
  <si>
    <t>116349004 | Gatifloxacin (substance) |</t>
  </si>
  <si>
    <t>387189002 | Gemfibrozil (substance) |</t>
  </si>
  <si>
    <t>387321007 | Gentamicin (substance) |</t>
  </si>
  <si>
    <t>87174009 | Guaifenesin (substance) |</t>
  </si>
  <si>
    <t>372877000 | Heparin (substance) |</t>
  </si>
  <si>
    <t>387125005 | Hydralazine (substance) |</t>
  </si>
  <si>
    <t>387525002 | Hydrochlorothiazide (substance) |</t>
  </si>
  <si>
    <t>396458002 | Hydrocortisone (substance) |</t>
  </si>
  <si>
    <t>373540008 | Hydroxychloroquine (substance) |</t>
  </si>
  <si>
    <t>372856003 | Hydroxyzine (substance) |</t>
  </si>
  <si>
    <t>96287002 | Ibandronate (substance) |</t>
  </si>
  <si>
    <t>373513008 | Indomethacin (substance) |</t>
  </si>
  <si>
    <t>386891004 | Infliximab (substance) |</t>
  </si>
  <si>
    <t>387562000 | Lamotrigine (substance) |</t>
  </si>
  <si>
    <t>386888004 | Lansoprazole (substance) |</t>
  </si>
  <si>
    <t>387000003 | Levetiracetam (substance) |</t>
  </si>
  <si>
    <t>126109000 | Levonorgestrel (substance) |</t>
  </si>
  <si>
    <t>387480006 | Lidocaine (substance) |</t>
  </si>
  <si>
    <t>85899009 | Lithium (substance) |</t>
  </si>
  <si>
    <t>96061006 | Loracarbef (substance) |</t>
  </si>
  <si>
    <t>386884002 | Loratadine (substance) |</t>
  </si>
  <si>
    <t>387106007 | Lorazepam (substance) |</t>
  </si>
  <si>
    <t>373567002 | Losartan (substance) |</t>
  </si>
  <si>
    <t>96303004 | Lovastatin (substance) |</t>
  </si>
  <si>
    <t>372879002 | Meclizine (substance) |</t>
  </si>
  <si>
    <t>387055000 | Meloxicam (substance) |</t>
  </si>
  <si>
    <t>87599003 | Metaxalone (substance) |</t>
  </si>
  <si>
    <t>372567009 | Metformin (substance) |</t>
  </si>
  <si>
    <t>387286002 | Methadone (substance) |</t>
  </si>
  <si>
    <t>387486000 | Methocarbamol (substance) |</t>
  </si>
  <si>
    <t>387381009 | Methotrexate (substance) |</t>
  </si>
  <si>
    <t>373337007 | Methylphenidate (substance) |</t>
  </si>
  <si>
    <t>116593003 | Methylprednisolone (substance) |</t>
  </si>
  <si>
    <t>372826007 | Metoprolol (substance) |</t>
  </si>
  <si>
    <t>373476007 | Midazolam (substance) |</t>
  </si>
  <si>
    <t>372653009 | Minocycline (substance) |</t>
  </si>
  <si>
    <t>386847004 | Mirtazapine (substance) |</t>
  </si>
  <si>
    <t>373728005 | Montelukast (substance) |</t>
  </si>
  <si>
    <t>386859000 | Nabumetone (substance) |</t>
  </si>
  <si>
    <t>373539006 | Nalbuphine (substance) |</t>
  </si>
  <si>
    <t>373528008 | Neomycin (substance) |</t>
  </si>
  <si>
    <t>387490003 | Nifedipine (substance) |</t>
  </si>
  <si>
    <t>387404004 | Nitroglycerin (substance) |</t>
  </si>
  <si>
    <t>372652004 | Nortriptyline (substance) |</t>
  </si>
  <si>
    <t>387048002 | Nystatin (substance) |</t>
  </si>
  <si>
    <t>387551000 | Ofloxacin (substance) |</t>
  </si>
  <si>
    <t>386849001 | Olanzapine (substance) |</t>
  </si>
  <si>
    <t>412259001 | Olmesartan (substance) |</t>
  </si>
  <si>
    <t>387137007 | Omeprazole (substance) |</t>
  </si>
  <si>
    <t>372487007 | Ondansetron (substance) |</t>
  </si>
  <si>
    <t>412261005 | Oseltamivir (substance) |</t>
  </si>
  <si>
    <t>108518005 | Oxaprozin (substance) |</t>
  </si>
  <si>
    <t>387025007 | Oxcarbazepine (substance) |</t>
  </si>
  <si>
    <t>372717000 | Oxybutynin (substance) |</t>
  </si>
  <si>
    <t>395821003 | Pantoprazole (substance) |</t>
  </si>
  <si>
    <t>372595009 | Paroxetine (substance) |</t>
  </si>
  <si>
    <t>387235007 | Penicillamine (substance) |</t>
  </si>
  <si>
    <t>372725003 | Penicillin V (substance) |</t>
  </si>
  <si>
    <t>387213004 | Pentazocine (substance) |</t>
  </si>
  <si>
    <t>15785009 | Phenazopyridine (substance) |</t>
  </si>
  <si>
    <t>373505007 | Phenobarbital (substance) |</t>
  </si>
  <si>
    <t>387220006 | Phenytoin (substance) |</t>
  </si>
  <si>
    <t>395828009 | Pioglitazone (substance) |</t>
  </si>
  <si>
    <t>372836004 | Piperacillin (substance) |</t>
  </si>
  <si>
    <t>387153005 | Piroxicam (substance) |</t>
  </si>
  <si>
    <t>372824005 | Polymyxin B (substance) |</t>
  </si>
  <si>
    <t>373566006 | Pravastatin (substance) |</t>
  </si>
  <si>
    <t>415160008 | Pregabalin (substance) |</t>
  </si>
  <si>
    <t>387238009 | Procaine (substance) |</t>
  </si>
  <si>
    <t>387423006 | Propofol (substance) |</t>
  </si>
  <si>
    <t>372772003 | Propranolol (substance) |</t>
  </si>
  <si>
    <t>372900003 | Pseudoephedrine (substance) |</t>
  </si>
  <si>
    <t>386850001 | Quetiapine (substance) |</t>
  </si>
  <si>
    <t>386874003 | Quinapril (substance) |</t>
  </si>
  <si>
    <t>372697008 | Quinidine (substance) |</t>
  </si>
  <si>
    <t>373497008 | Quinine (substance) |</t>
  </si>
  <si>
    <t>386872004 | Ramipril (substance) |</t>
  </si>
  <si>
    <t>372755005 | Ranitidine (substance) |</t>
  </si>
  <si>
    <t>387582001 | Risedronate (substance) |</t>
  </si>
  <si>
    <t>386840002 | Risperidone (substance) |</t>
  </si>
  <si>
    <t>387008005 | Rofecoxib (substance) |</t>
  </si>
  <si>
    <t>395869000 | Rosiglitazone (substance) |</t>
  </si>
  <si>
    <t>372515005 | Salmeterol (substance) |</t>
  </si>
  <si>
    <t>387409009 | Scopolamine (substance) |</t>
  </si>
  <si>
    <t>372594008 | Sertraline (substance) |</t>
  </si>
  <si>
    <t>387078006 | Spironolactone (substance) |</t>
  </si>
  <si>
    <t>387223008 | Streptomycin (substance) |</t>
  </si>
  <si>
    <t>372724004 | Succinylcholine (substance) |</t>
  </si>
  <si>
    <t>387248006 | Sulfasalazine (substance) |</t>
  </si>
  <si>
    <t>372858002 | Sulfisoxazole (substance) |</t>
  </si>
  <si>
    <t>43735007 | Sulfur (substance) |</t>
  </si>
  <si>
    <t>387513000 | Sulindac (substance) |</t>
  </si>
  <si>
    <t>395892000 | Sumatriptan (substance) |</t>
  </si>
  <si>
    <t>372509005 | Tamsulosin (substance) |</t>
  </si>
  <si>
    <t>96007008 | Tazobactam (substance) |</t>
  </si>
  <si>
    <t>387300007 | Temazepam (substance) |</t>
  </si>
  <si>
    <t>373450007 | Terbinafine (substance) |</t>
  </si>
  <si>
    <t>372810006 | Theophylline (substance) |</t>
  </si>
  <si>
    <t>373440006 | Tizanidine (substance) |</t>
  </si>
  <si>
    <t>386844006 | Topiramate (substance) |</t>
  </si>
  <si>
    <t>372829000 | Trazodone (substance) |</t>
  </si>
  <si>
    <t>387053007 | Triamterene (substance) |</t>
  </si>
  <si>
    <t>385584001 | Valdecoxib (substance) |</t>
  </si>
  <si>
    <t>372812003 | Valproate (substance) |</t>
  </si>
  <si>
    <t>386876001 | Valsartan (substance) |</t>
  </si>
  <si>
    <t>421772003 | Varenicline (substance) |</t>
  </si>
  <si>
    <t>372490001 | Venlafaxine (substance) |</t>
  </si>
  <si>
    <t>372754009 | Verapamil (substance) |</t>
  </si>
  <si>
    <t>372756006 | Warfarin (substance) |</t>
  </si>
  <si>
    <t>409356003 | Ziprasidone (substance) |</t>
  </si>
  <si>
    <t>387569009 | Zolpidem (substance) |</t>
  </si>
  <si>
    <t>387470007 | Cephazolin (substance) |</t>
  </si>
  <si>
    <t>700067006 | Rosuvastatin (substance) |</t>
  </si>
  <si>
    <t>425682001 | Tetanus immunoglobulin (substance) |</t>
  </si>
  <si>
    <t>108731003 | Tuberculin purified protein derivative (substance) |</t>
  </si>
  <si>
    <t>710809001 | Levothyroxine (substance) |</t>
  </si>
  <si>
    <t>226365003 | N-3 fatty acid (substance) |</t>
  </si>
  <si>
    <t>323389000 | Benzylpenicillin (penicillin G) (substance)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</si>
</sst>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0%"/>
  </numFmts>
  <fonts count="6" x14ac:knownFonts="1">
    <font>
      <sz val="11"/>
      <color theme="1"/>
      <name val="Calibri"/>
      <family val="2"/>
      <scheme val="minor"/>
    </font>
    <font>
      <sz val="11"/>
      <color theme="1"/>
      <name val="Calibri"/>
      <family val="2"/>
      <scheme val="minor"/>
    </font>
    <font>
      <sz val="10"/>
      <color rgb="FF000000"/>
      <name val="Verdana"/>
      <family val="2"/>
    </font>
    <font>
      <sz val="11"/>
      <color rgb="FF9C0006"/>
      <name val="Calibri"/>
      <family val="2"/>
      <scheme val="minor"/>
    </font>
    <font>
      <b/>
      <sz val="11"/>
      <color theme="3"/>
      <name val="Calibri"/>
      <family val="2"/>
      <scheme val="minor"/>
    </font>
    <font>
      <b/>
      <sz val="11"/>
      <color theme="1"/>
      <name val="Calibri"/>
      <family val="2"/>
      <scheme val="minor"/>
    </font>
  </fonts>
  <fills count="7">
    <fill>
      <patternFill patternType="none"/>
    </fill>
    <fill>
      <patternFill patternType="gray125"/>
    </fill>
    <fill>
      <patternFill patternType="solid">
        <fgColor rgb="FFFFC7CE"/>
      </patternFill>
    </fill>
    <fill>
      <patternFill patternType="solid">
        <fgColor rgb="FFFFFFCC"/>
      </patternFill>
    </fill>
    <fill>
      <patternFill patternType="solid">
        <fgColor theme="9" tint="0.79998168889431442"/>
        <bgColor indexed="65"/>
      </patternFill>
    </fill>
    <fill>
      <patternFill patternType="solid">
        <fgColor theme="6" tint="0.79998168889431442"/>
        <bgColor indexed="65"/>
      </patternFill>
    </fill>
    <fill>
      <patternFill patternType="solid">
        <fgColor theme="8" tint="0.79998168889431442"/>
        <bgColor indexed="65"/>
      </patternFill>
    </fill>
  </fills>
  <borders count="9">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style="thin">
        <color rgb="FFB2B2B2"/>
      </right>
      <top/>
      <bottom/>
      <diagonal/>
    </border>
    <border>
      <left style="thin">
        <color rgb="FFB2B2B2"/>
      </left>
      <right/>
      <top/>
      <bottom/>
      <diagonal/>
    </border>
    <border>
      <left/>
      <right style="thin">
        <color indexed="64"/>
      </right>
      <top style="medium">
        <color theme="4" tint="0.39997558519241921"/>
      </top>
      <bottom/>
      <diagonal/>
    </border>
    <border>
      <left/>
      <right style="thin">
        <color indexed="64"/>
      </right>
      <top/>
      <bottom/>
      <diagonal/>
    </border>
    <border>
      <left style="thin">
        <color indexed="64"/>
      </left>
      <right style="thin">
        <color indexed="64"/>
      </right>
      <top style="medium">
        <color theme="4" tint="0.39997558519241921"/>
      </top>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4" fillId="0" borderId="1" applyNumberFormat="0" applyFill="0" applyAlignment="0" applyProtection="0"/>
    <xf numFmtId="0" fontId="1" fillId="3" borderId="2" applyNumberFormat="0" applyFon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55">
    <xf numFmtId="0" fontId="0" fillId="0" borderId="0" xfId="0"/>
    <xf numFmtId="0" fontId="0" fillId="0" borderId="0" xfId="0" applyAlignment="1">
      <alignment horizontal="left"/>
    </xf>
    <xf numFmtId="0" fontId="0" fillId="0" borderId="0" xfId="0" applyNumberFormat="1"/>
    <xf numFmtId="164" fontId="0" fillId="0" borderId="0" xfId="1" applyNumberFormat="1" applyFont="1"/>
    <xf numFmtId="43" fontId="0" fillId="0" borderId="0" xfId="1" applyFont="1"/>
    <xf numFmtId="10" fontId="0" fillId="0" borderId="0" xfId="2" applyNumberFormat="1" applyFont="1"/>
    <xf numFmtId="10" fontId="0" fillId="0" borderId="0" xfId="0" applyNumberFormat="1"/>
    <xf numFmtId="0" fontId="2" fillId="0" borderId="0" xfId="0" applyFont="1"/>
    <xf numFmtId="0" fontId="0" fillId="0" borderId="0" xfId="0" quotePrefix="1"/>
    <xf numFmtId="0" fontId="3" fillId="2" borderId="0" xfId="3"/>
    <xf numFmtId="0" fontId="3" fillId="2" borderId="0" xfId="3" applyAlignment="1">
      <alignment horizontal="left"/>
    </xf>
    <xf numFmtId="0" fontId="3" fillId="2" borderId="0" xfId="3" applyNumberFormat="1"/>
    <xf numFmtId="0" fontId="0" fillId="0" borderId="0" xfId="0" applyAlignment="1">
      <alignment horizontal="right"/>
    </xf>
    <xf numFmtId="0" fontId="4" fillId="0" borderId="1" xfId="4"/>
    <xf numFmtId="164" fontId="4" fillId="0" borderId="1" xfId="4" applyNumberFormat="1"/>
    <xf numFmtId="0" fontId="0" fillId="3" borderId="2" xfId="5" applyFont="1"/>
    <xf numFmtId="0" fontId="4" fillId="3" borderId="2" xfId="5" applyFont="1"/>
    <xf numFmtId="0" fontId="0" fillId="3" borderId="2" xfId="5" applyNumberFormat="1" applyFont="1"/>
    <xf numFmtId="0" fontId="1" fillId="4" borderId="0" xfId="6"/>
    <xf numFmtId="0" fontId="1" fillId="4" borderId="1" xfId="6" applyBorder="1"/>
    <xf numFmtId="0" fontId="1" fillId="4" borderId="0" xfId="6" applyNumberFormat="1"/>
    <xf numFmtId="0" fontId="0" fillId="4" borderId="0" xfId="6" applyFont="1"/>
    <xf numFmtId="0" fontId="4" fillId="3" borderId="3" xfId="5" applyFont="1" applyBorder="1"/>
    <xf numFmtId="0" fontId="0" fillId="4" borderId="1" xfId="6" applyFont="1" applyBorder="1"/>
    <xf numFmtId="0" fontId="4" fillId="3" borderId="1" xfId="4" applyFill="1"/>
    <xf numFmtId="0" fontId="4" fillId="4" borderId="1" xfId="4" applyFill="1"/>
    <xf numFmtId="0" fontId="4" fillId="3" borderId="0" xfId="4" applyFill="1" applyBorder="1"/>
    <xf numFmtId="0" fontId="0" fillId="3" borderId="0" xfId="5" applyFont="1" applyBorder="1"/>
    <xf numFmtId="0" fontId="1" fillId="4" borderId="5" xfId="6" applyBorder="1"/>
    <xf numFmtId="0" fontId="1" fillId="4" borderId="6" xfId="6" applyBorder="1"/>
    <xf numFmtId="0" fontId="1" fillId="4" borderId="7" xfId="6" applyBorder="1"/>
    <xf numFmtId="0" fontId="1" fillId="4" borderId="8" xfId="6" applyBorder="1"/>
    <xf numFmtId="0" fontId="1" fillId="4" borderId="8" xfId="6" applyNumberFormat="1" applyBorder="1"/>
    <xf numFmtId="0" fontId="0" fillId="4" borderId="0" xfId="6" applyNumberFormat="1" applyFont="1"/>
    <xf numFmtId="0" fontId="1" fillId="4" borderId="0" xfId="6" applyAlignment="1">
      <alignment horizontal="left"/>
    </xf>
    <xf numFmtId="0" fontId="3" fillId="2" borderId="3" xfId="3" applyBorder="1"/>
    <xf numFmtId="0" fontId="3" fillId="2" borderId="2" xfId="3" applyBorder="1"/>
    <xf numFmtId="11" fontId="0" fillId="4" borderId="0" xfId="6" applyNumberFormat="1" applyFont="1"/>
    <xf numFmtId="0" fontId="0" fillId="3" borderId="2" xfId="5" applyFont="1" applyBorder="1"/>
    <xf numFmtId="0" fontId="1" fillId="5" borderId="6" xfId="7" applyBorder="1"/>
    <xf numFmtId="0" fontId="1" fillId="6" borderId="6" xfId="8" applyBorder="1"/>
    <xf numFmtId="0" fontId="0" fillId="6" borderId="6" xfId="8" applyFont="1" applyBorder="1"/>
    <xf numFmtId="0" fontId="1" fillId="6" borderId="5" xfId="8" applyBorder="1"/>
    <xf numFmtId="0" fontId="0" fillId="4" borderId="8" xfId="6" applyFont="1" applyBorder="1"/>
    <xf numFmtId="0" fontId="5" fillId="0" borderId="0" xfId="0" applyFont="1" applyAlignment="1">
      <alignment horizontal="left"/>
    </xf>
    <xf numFmtId="165" fontId="0" fillId="0" borderId="0" xfId="2" applyNumberFormat="1" applyFont="1"/>
    <xf numFmtId="0" fontId="0" fillId="4" borderId="0" xfId="6" applyFont="1" applyAlignment="1"/>
    <xf numFmtId="0" fontId="1" fillId="4" borderId="0" xfId="6" applyAlignment="1"/>
    <xf numFmtId="0" fontId="0" fillId="3" borderId="4" xfId="5" applyNumberFormat="1" applyFont="1" applyBorder="1" applyAlignment="1">
      <alignment horizontal="center"/>
    </xf>
    <xf numFmtId="0" fontId="0" fillId="3" borderId="0" xfId="5" applyNumberFormat="1" applyFont="1" applyBorder="1" applyAlignment="1">
      <alignment horizontal="center"/>
    </xf>
    <xf numFmtId="0" fontId="1" fillId="4" borderId="0" xfId="6" applyAlignment="1">
      <alignment horizontal="center"/>
    </xf>
    <xf numFmtId="0" fontId="1" fillId="4" borderId="3" xfId="6" applyBorder="1" applyAlignment="1">
      <alignment horizontal="center"/>
    </xf>
    <xf numFmtId="0" fontId="0" fillId="0" borderId="0" xfId="0" applyAlignment="1">
      <alignment horizontal="center"/>
    </xf>
    <xf numFmtId="0" fontId="0" fillId="4" borderId="0" xfId="6" applyFont="1" applyAlignment="1">
      <alignment horizontal="center"/>
    </xf>
    <xf numFmtId="0" fontId="0" fillId="4" borderId="3" xfId="6" applyFont="1" applyBorder="1" applyAlignment="1">
      <alignment horizontal="center"/>
    </xf>
  </cellXfs>
  <cellStyles count="9">
    <cellStyle name="20% - Accent3" xfId="7" builtinId="38"/>
    <cellStyle name="20% - Accent5" xfId="8" builtinId="46"/>
    <cellStyle name="20% - Accent6" xfId="6" builtinId="50"/>
    <cellStyle name="Bad" xfId="3" builtinId="27"/>
    <cellStyle name="Comma" xfId="1" builtinId="3"/>
    <cellStyle name="Heading 3" xfId="4" builtinId="18"/>
    <cellStyle name="Normal" xfId="0" builtinId="0"/>
    <cellStyle name="Note" xfId="5"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workbookViewId="0">
      <selection activeCell="D26" sqref="D26"/>
    </sheetView>
  </sheetViews>
  <sheetFormatPr defaultRowHeight="15" x14ac:dyDescent="0.25"/>
  <sheetData>
    <row r="1" spans="1:4" x14ac:dyDescent="0.25">
      <c r="A1" t="s">
        <v>30</v>
      </c>
      <c r="B1" t="s">
        <v>902</v>
      </c>
    </row>
    <row r="2" spans="1:4" x14ac:dyDescent="0.25">
      <c r="B2" t="s">
        <v>936</v>
      </c>
    </row>
    <row r="3" spans="1:4" x14ac:dyDescent="0.25">
      <c r="C3" t="s">
        <v>903</v>
      </c>
    </row>
    <row r="4" spans="1:4" x14ac:dyDescent="0.25">
      <c r="C4" t="s">
        <v>904</v>
      </c>
    </row>
    <row r="5" spans="1:4" x14ac:dyDescent="0.25">
      <c r="C5" t="s">
        <v>935</v>
      </c>
    </row>
    <row r="6" spans="1:4" x14ac:dyDescent="0.25">
      <c r="C6" t="s">
        <v>905</v>
      </c>
    </row>
    <row r="7" spans="1:4" x14ac:dyDescent="0.25">
      <c r="C7" t="s">
        <v>906</v>
      </c>
    </row>
    <row r="8" spans="1:4" x14ac:dyDescent="0.25">
      <c r="B8" t="s">
        <v>907</v>
      </c>
    </row>
    <row r="9" spans="1:4" x14ac:dyDescent="0.25">
      <c r="A9" t="s">
        <v>911</v>
      </c>
      <c r="B9" t="s">
        <v>908</v>
      </c>
    </row>
    <row r="10" spans="1:4" x14ac:dyDescent="0.25">
      <c r="B10" t="s">
        <v>912</v>
      </c>
    </row>
    <row r="11" spans="1:4" x14ac:dyDescent="0.25">
      <c r="B11" t="s">
        <v>934</v>
      </c>
    </row>
    <row r="12" spans="1:4" x14ac:dyDescent="0.25">
      <c r="B12" t="s">
        <v>909</v>
      </c>
    </row>
    <row r="13" spans="1:4" x14ac:dyDescent="0.25">
      <c r="B13" t="s">
        <v>910</v>
      </c>
    </row>
    <row r="16" spans="1:4" x14ac:dyDescent="0.25">
      <c r="A16" t="s">
        <v>616</v>
      </c>
      <c r="B16" s="1"/>
      <c r="C16" s="2" t="s">
        <v>899</v>
      </c>
      <c r="D16" t="s">
        <v>900</v>
      </c>
    </row>
    <row r="17" spans="2:4" x14ac:dyDescent="0.25">
      <c r="B17" s="1" t="s">
        <v>0</v>
      </c>
      <c r="C17" s="2">
        <f>Negations!B7</f>
        <v>5</v>
      </c>
      <c r="D17" s="6">
        <f>Negations!E7</f>
        <v>0.56618784843896464</v>
      </c>
    </row>
    <row r="18" spans="2:4" x14ac:dyDescent="0.25">
      <c r="B18" s="1" t="s">
        <v>323</v>
      </c>
      <c r="C18" s="2">
        <f>Freetext!B6</f>
        <v>4</v>
      </c>
      <c r="D18" s="6">
        <f>Freetext!E6</f>
        <v>3.4624014086922415E-2</v>
      </c>
    </row>
    <row r="19" spans="2:4" x14ac:dyDescent="0.25">
      <c r="B19" s="1" t="s">
        <v>617</v>
      </c>
      <c r="C19" s="2">
        <f>'Procedure Flags'!B7</f>
        <v>3</v>
      </c>
      <c r="D19" s="6">
        <f>'Procedure Flags'!E7</f>
        <v>1.8273625506359466E-2</v>
      </c>
    </row>
    <row r="20" spans="2:4" x14ac:dyDescent="0.25">
      <c r="B20" s="1" t="s">
        <v>618</v>
      </c>
      <c r="C20">
        <f>'Med Classes'!B9</f>
        <v>19</v>
      </c>
      <c r="D20" s="6">
        <f>'Med Classes'!E9</f>
        <v>9.6022538441443442E-2</v>
      </c>
    </row>
    <row r="21" spans="2:4" x14ac:dyDescent="0.25">
      <c r="B21" s="1" t="s">
        <v>619</v>
      </c>
      <c r="C21" s="2">
        <f>'Med Ingredients'!B12</f>
        <v>236</v>
      </c>
      <c r="D21" s="6">
        <f>'Med Ingredients'!K12</f>
        <v>0.20740712650401646</v>
      </c>
    </row>
    <row r="22" spans="2:4" x14ac:dyDescent="0.25">
      <c r="B22" s="1" t="s">
        <v>1</v>
      </c>
      <c r="C22" s="2">
        <f>Foods!B8</f>
        <v>25</v>
      </c>
      <c r="D22" s="6">
        <f>Foods!E8</f>
        <v>1.9233096196452967E-2</v>
      </c>
    </row>
    <row r="23" spans="2:4" x14ac:dyDescent="0.25">
      <c r="B23" s="1" t="s">
        <v>326</v>
      </c>
      <c r="C23" s="2">
        <f>Vaccines!B5</f>
        <v>4</v>
      </c>
      <c r="D23" s="6">
        <f>Vaccines!E5</f>
        <v>1.6305670849345898E-3</v>
      </c>
    </row>
    <row r="24" spans="2:4" x14ac:dyDescent="0.25">
      <c r="B24" s="1" t="s">
        <v>7</v>
      </c>
      <c r="C24" s="2">
        <f>Environment!B6</f>
        <v>11</v>
      </c>
      <c r="D24" s="6">
        <f>Environment!E6</f>
        <v>8.9208349227769945E-3</v>
      </c>
    </row>
    <row r="25" spans="2:4" x14ac:dyDescent="0.25">
      <c r="B25" s="44" t="s">
        <v>901</v>
      </c>
      <c r="C25" s="2">
        <f>SUM(C17:C24)</f>
        <v>307</v>
      </c>
      <c r="D25" s="6">
        <f>SUM(D17:D24)</f>
        <v>0.95229965118187099</v>
      </c>
    </row>
    <row r="33" spans="8:9" x14ac:dyDescent="0.25">
      <c r="H33" s="3"/>
      <c r="I33"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J15" sqref="J15"/>
    </sheetView>
  </sheetViews>
  <sheetFormatPr defaultRowHeight="15" x14ac:dyDescent="0.25"/>
  <cols>
    <col min="1" max="1" width="14.42578125" customWidth="1"/>
    <col min="2" max="3" width="13.85546875" customWidth="1"/>
    <col min="4" max="4" width="14.28515625" bestFit="1" customWidth="1"/>
    <col min="6" max="6" width="44.42578125" customWidth="1"/>
    <col min="7" max="7" width="19.85546875" customWidth="1"/>
    <col min="8" max="8" width="16.140625" customWidth="1"/>
  </cols>
  <sheetData>
    <row r="1" spans="1:11" x14ac:dyDescent="0.25">
      <c r="A1" t="s">
        <v>30</v>
      </c>
      <c r="B1" t="s">
        <v>559</v>
      </c>
    </row>
    <row r="2" spans="1:11" x14ac:dyDescent="0.25">
      <c r="A2" t="s">
        <v>383</v>
      </c>
      <c r="B2" t="s">
        <v>850</v>
      </c>
    </row>
    <row r="3" spans="1:11" x14ac:dyDescent="0.25">
      <c r="A3" t="s">
        <v>385</v>
      </c>
      <c r="B3" t="s">
        <v>852</v>
      </c>
    </row>
    <row r="4" spans="1:11" x14ac:dyDescent="0.25">
      <c r="B4" t="s">
        <v>853</v>
      </c>
    </row>
    <row r="5" spans="1:11" x14ac:dyDescent="0.25">
      <c r="B5" t="s">
        <v>854</v>
      </c>
    </row>
    <row r="7" spans="1:11" x14ac:dyDescent="0.25">
      <c r="B7">
        <f>COUNTA(B11:B15)</f>
        <v>5</v>
      </c>
      <c r="C7" t="s">
        <v>913</v>
      </c>
      <c r="D7" s="3">
        <f>SUM(D11:D19)</f>
        <v>25702586</v>
      </c>
      <c r="E7" s="5">
        <f>D7/D$8</f>
        <v>0.56618784843896464</v>
      </c>
    </row>
    <row r="8" spans="1:11" x14ac:dyDescent="0.25">
      <c r="C8" s="12" t="s">
        <v>544</v>
      </c>
      <c r="D8" s="3">
        <v>45395863</v>
      </c>
      <c r="G8" s="2"/>
    </row>
    <row r="9" spans="1:11" x14ac:dyDescent="0.25">
      <c r="C9" s="12"/>
      <c r="D9" s="3"/>
      <c r="F9" s="18" t="s">
        <v>546</v>
      </c>
      <c r="G9" s="48" t="s">
        <v>547</v>
      </c>
      <c r="H9" s="49"/>
      <c r="I9" s="49"/>
      <c r="J9" s="49"/>
      <c r="K9" s="49"/>
    </row>
    <row r="10" spans="1:11" ht="15.75" thickBot="1" x14ac:dyDescent="0.3">
      <c r="A10" s="13" t="s">
        <v>454</v>
      </c>
      <c r="B10" s="13" t="s">
        <v>2</v>
      </c>
      <c r="C10" s="13" t="s">
        <v>545</v>
      </c>
      <c r="D10" s="14" t="s">
        <v>3</v>
      </c>
      <c r="E10" s="13" t="s">
        <v>34</v>
      </c>
      <c r="F10" s="25" t="s">
        <v>31</v>
      </c>
      <c r="G10" s="24" t="s">
        <v>47</v>
      </c>
      <c r="H10" s="24" t="s">
        <v>548</v>
      </c>
      <c r="I10" s="24" t="s">
        <v>558</v>
      </c>
      <c r="J10" s="24" t="s">
        <v>574</v>
      </c>
      <c r="K10" s="24" t="s">
        <v>551</v>
      </c>
    </row>
    <row r="11" spans="1:11" x14ac:dyDescent="0.25">
      <c r="A11">
        <v>1</v>
      </c>
      <c r="B11" s="1" t="s">
        <v>64</v>
      </c>
      <c r="C11" t="s">
        <v>984</v>
      </c>
      <c r="D11" s="3">
        <f>9524741+1208000+311744+4196</f>
        <v>11048681</v>
      </c>
      <c r="E11" s="5">
        <f>D11/D$8</f>
        <v>0.24338519569503503</v>
      </c>
      <c r="F11" s="18" t="s">
        <v>196</v>
      </c>
      <c r="G11" s="15" t="s">
        <v>554</v>
      </c>
      <c r="H11" s="15" t="s">
        <v>571</v>
      </c>
      <c r="I11" s="15" t="s">
        <v>577</v>
      </c>
      <c r="J11" s="15" t="s">
        <v>573</v>
      </c>
      <c r="K11" s="15" t="s">
        <v>572</v>
      </c>
    </row>
    <row r="12" spans="1:11" x14ac:dyDescent="0.25">
      <c r="A12">
        <v>2</v>
      </c>
      <c r="B12" s="1" t="s">
        <v>65</v>
      </c>
      <c r="C12" t="s">
        <v>347</v>
      </c>
      <c r="D12" s="3">
        <f>6349394+4147010+304322+215480+10989+3747</f>
        <v>11030942</v>
      </c>
      <c r="E12" s="5">
        <f>D12/D$8</f>
        <v>0.24299443321520289</v>
      </c>
      <c r="F12" s="18" t="s">
        <v>197</v>
      </c>
      <c r="G12" s="15" t="s">
        <v>555</v>
      </c>
      <c r="H12" s="15" t="s">
        <v>552</v>
      </c>
      <c r="I12" s="15" t="s">
        <v>576</v>
      </c>
      <c r="J12" s="15" t="s">
        <v>550</v>
      </c>
      <c r="K12" s="15"/>
    </row>
    <row r="13" spans="1:11" x14ac:dyDescent="0.25">
      <c r="A13">
        <v>3</v>
      </c>
      <c r="B13" s="1" t="s">
        <v>66</v>
      </c>
      <c r="C13" t="s">
        <v>349</v>
      </c>
      <c r="D13" s="3">
        <f>1095730+743740+379482</f>
        <v>2218952</v>
      </c>
      <c r="E13" s="5">
        <f>D13/D$8</f>
        <v>4.8880048827356803E-2</v>
      </c>
      <c r="F13" s="18" t="s">
        <v>198</v>
      </c>
      <c r="G13" s="15" t="s">
        <v>553</v>
      </c>
      <c r="H13" s="15" t="s">
        <v>43</v>
      </c>
      <c r="I13" s="15" t="s">
        <v>576</v>
      </c>
      <c r="J13" s="15" t="s">
        <v>550</v>
      </c>
      <c r="K13" s="15"/>
    </row>
    <row r="14" spans="1:11" x14ac:dyDescent="0.25">
      <c r="A14">
        <v>4</v>
      </c>
      <c r="B14" s="1" t="s">
        <v>67</v>
      </c>
      <c r="C14" t="s">
        <v>348</v>
      </c>
      <c r="D14" s="3">
        <f>12384+550232</f>
        <v>562616</v>
      </c>
      <c r="E14" s="5">
        <f>D14/D$8</f>
        <v>1.2393552249463789E-2</v>
      </c>
      <c r="F14" s="18" t="s">
        <v>199</v>
      </c>
      <c r="G14" s="15" t="s">
        <v>556</v>
      </c>
      <c r="H14" s="15" t="s">
        <v>43</v>
      </c>
      <c r="I14" s="15" t="s">
        <v>576</v>
      </c>
      <c r="J14" s="15" t="s">
        <v>550</v>
      </c>
      <c r="K14" s="15"/>
    </row>
    <row r="15" spans="1:11" x14ac:dyDescent="0.25">
      <c r="A15">
        <v>5</v>
      </c>
      <c r="B15" t="s">
        <v>389</v>
      </c>
      <c r="C15" t="s">
        <v>442</v>
      </c>
      <c r="D15" s="3">
        <f>667386+147449+2457</f>
        <v>817292</v>
      </c>
      <c r="E15" s="5">
        <f>D15/D$8</f>
        <v>1.8003666986130432E-2</v>
      </c>
      <c r="F15" s="21" t="s">
        <v>549</v>
      </c>
      <c r="G15" s="15" t="s">
        <v>557</v>
      </c>
      <c r="H15" s="15" t="s">
        <v>575</v>
      </c>
      <c r="I15" s="15" t="s">
        <v>40</v>
      </c>
      <c r="J15" s="15" t="s">
        <v>324</v>
      </c>
      <c r="K15" s="15"/>
    </row>
    <row r="16" spans="1:11" x14ac:dyDescent="0.25">
      <c r="D16" s="3"/>
      <c r="E16" s="5"/>
      <c r="F16" s="21"/>
      <c r="G16" s="15"/>
      <c r="H16" s="15"/>
      <c r="I16" s="15"/>
      <c r="J16" s="15"/>
      <c r="K16" s="15"/>
    </row>
    <row r="17" spans="1:11" x14ac:dyDescent="0.25">
      <c r="A17" t="s">
        <v>851</v>
      </c>
      <c r="D17" s="3"/>
      <c r="E17" s="5"/>
      <c r="F17" s="18"/>
      <c r="G17" s="15"/>
      <c r="H17" s="15"/>
      <c r="I17" s="15"/>
      <c r="J17" s="15"/>
      <c r="K17" s="15"/>
    </row>
    <row r="18" spans="1:11" x14ac:dyDescent="0.25">
      <c r="B18" t="s">
        <v>40</v>
      </c>
      <c r="C18" s="1" t="s">
        <v>441</v>
      </c>
      <c r="D18" s="3">
        <f>16611+2666</f>
        <v>19277</v>
      </c>
      <c r="E18" s="5">
        <f>D18/D$8</f>
        <v>4.2464221904978437E-4</v>
      </c>
      <c r="F18" s="20"/>
      <c r="G18" s="15" t="s">
        <v>579</v>
      </c>
      <c r="H18" s="15"/>
      <c r="I18" s="15"/>
      <c r="J18" s="15"/>
      <c r="K18" s="15"/>
    </row>
    <row r="19" spans="1:11" x14ac:dyDescent="0.25">
      <c r="B19" t="s">
        <v>42</v>
      </c>
      <c r="C19" s="1" t="s">
        <v>277</v>
      </c>
      <c r="D19" s="3">
        <v>4826</v>
      </c>
      <c r="E19" s="5">
        <f>D19/D$8</f>
        <v>1.0630924672585253E-4</v>
      </c>
      <c r="F19" s="18"/>
      <c r="G19" s="15" t="s">
        <v>41</v>
      </c>
      <c r="H19" s="15" t="s">
        <v>578</v>
      </c>
      <c r="I19" s="15"/>
      <c r="J19" s="15"/>
      <c r="K19" s="15"/>
    </row>
    <row r="20" spans="1:11" x14ac:dyDescent="0.25">
      <c r="D20" s="4"/>
      <c r="F20" s="2"/>
    </row>
    <row r="22" spans="1:11" x14ac:dyDescent="0.25">
      <c r="E22" s="2"/>
    </row>
    <row r="24" spans="1:11" x14ac:dyDescent="0.25">
      <c r="B24" s="1"/>
      <c r="C24" s="2"/>
    </row>
    <row r="35" spans="2:3" x14ac:dyDescent="0.25">
      <c r="B35" s="1"/>
      <c r="C35" s="2"/>
    </row>
    <row r="36" spans="2:3" x14ac:dyDescent="0.25">
      <c r="B36" s="1"/>
      <c r="C36" s="2"/>
    </row>
    <row r="37" spans="2:3" x14ac:dyDescent="0.25">
      <c r="B37" s="1"/>
      <c r="C37" s="2"/>
    </row>
    <row r="38" spans="2:3" x14ac:dyDescent="0.25">
      <c r="B38" s="1"/>
      <c r="C38" s="2"/>
    </row>
    <row r="39" spans="2:3" x14ac:dyDescent="0.25">
      <c r="B39" s="1"/>
      <c r="C39" s="2"/>
    </row>
    <row r="40" spans="2:3" x14ac:dyDescent="0.25">
      <c r="B40" s="1"/>
      <c r="C40" s="2"/>
    </row>
    <row r="41" spans="2:3" x14ac:dyDescent="0.25">
      <c r="B41" s="1"/>
      <c r="C41" s="2"/>
    </row>
    <row r="42" spans="2:3" x14ac:dyDescent="0.25">
      <c r="B42" s="1"/>
      <c r="C42" s="2"/>
    </row>
    <row r="43" spans="2:3" x14ac:dyDescent="0.25">
      <c r="B43" s="1"/>
      <c r="C43" s="2"/>
    </row>
  </sheetData>
  <mergeCells count="1">
    <mergeCell ref="G9:K9"/>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Negations!E11:E19</xm:f>
              <xm:sqref>E8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F10" sqref="F10"/>
    </sheetView>
  </sheetViews>
  <sheetFormatPr defaultRowHeight="15" x14ac:dyDescent="0.25"/>
  <cols>
    <col min="2" max="2" width="25.5703125" customWidth="1"/>
    <col min="3" max="3" width="14.7109375" customWidth="1"/>
    <col min="4" max="4" width="13.28515625" bestFit="1" customWidth="1"/>
    <col min="6" max="6" width="31.5703125" customWidth="1"/>
    <col min="7" max="7" width="18.7109375" customWidth="1"/>
  </cols>
  <sheetData>
    <row r="1" spans="1:11" x14ac:dyDescent="0.25">
      <c r="A1" t="s">
        <v>30</v>
      </c>
      <c r="B1" t="s">
        <v>384</v>
      </c>
    </row>
    <row r="2" spans="1:11" x14ac:dyDescent="0.25">
      <c r="A2" t="s">
        <v>383</v>
      </c>
      <c r="B2" t="s">
        <v>855</v>
      </c>
    </row>
    <row r="3" spans="1:11" x14ac:dyDescent="0.25">
      <c r="A3" t="s">
        <v>385</v>
      </c>
      <c r="B3" t="s">
        <v>580</v>
      </c>
    </row>
    <row r="4" spans="1:11" x14ac:dyDescent="0.25">
      <c r="B4" t="s">
        <v>856</v>
      </c>
    </row>
    <row r="6" spans="1:11" x14ac:dyDescent="0.25">
      <c r="B6">
        <f>COUNTA(B10:B15)</f>
        <v>4</v>
      </c>
      <c r="C6" t="s">
        <v>913</v>
      </c>
      <c r="D6" s="3">
        <f>SUM(D10:D18)</f>
        <v>1571787</v>
      </c>
      <c r="E6" s="5">
        <f>D6/D$7</f>
        <v>3.4624014086922415E-2</v>
      </c>
    </row>
    <row r="7" spans="1:11" x14ac:dyDescent="0.25">
      <c r="C7" s="12" t="s">
        <v>544</v>
      </c>
      <c r="D7" s="3">
        <v>45395863</v>
      </c>
      <c r="I7" s="2"/>
    </row>
    <row r="8" spans="1:11" x14ac:dyDescent="0.25">
      <c r="C8" s="12"/>
      <c r="D8" s="3"/>
      <c r="F8" s="18" t="s">
        <v>546</v>
      </c>
      <c r="G8" s="48" t="s">
        <v>547</v>
      </c>
      <c r="H8" s="49"/>
      <c r="I8" s="49"/>
      <c r="J8" s="49"/>
      <c r="K8" s="49"/>
    </row>
    <row r="9" spans="1:11" ht="15.75" thickBot="1" x14ac:dyDescent="0.3">
      <c r="A9" s="13" t="s">
        <v>454</v>
      </c>
      <c r="B9" s="13" t="s">
        <v>2</v>
      </c>
      <c r="C9" s="13" t="s">
        <v>545</v>
      </c>
      <c r="D9" s="14" t="s">
        <v>3</v>
      </c>
      <c r="E9" s="13" t="s">
        <v>34</v>
      </c>
      <c r="F9" s="25" t="s">
        <v>31</v>
      </c>
      <c r="G9" s="24" t="s">
        <v>47</v>
      </c>
      <c r="H9" s="24" t="s">
        <v>548</v>
      </c>
      <c r="I9" s="24" t="s">
        <v>558</v>
      </c>
      <c r="J9" s="24" t="s">
        <v>45</v>
      </c>
      <c r="K9" s="24" t="s">
        <v>551</v>
      </c>
    </row>
    <row r="10" spans="1:11" x14ac:dyDescent="0.25">
      <c r="A10">
        <v>1</v>
      </c>
      <c r="B10" s="1" t="s">
        <v>444</v>
      </c>
      <c r="C10" t="s">
        <v>440</v>
      </c>
      <c r="D10" s="3">
        <f>1456333+12536+3530</f>
        <v>1472399</v>
      </c>
      <c r="E10" s="5">
        <f>D10/D$7</f>
        <v>3.2434651589286892E-2</v>
      </c>
      <c r="F10" s="18" t="s">
        <v>446</v>
      </c>
      <c r="G10" s="15" t="s">
        <v>565</v>
      </c>
      <c r="H10" s="15" t="s">
        <v>563</v>
      </c>
      <c r="I10" s="15" t="s">
        <v>564</v>
      </c>
      <c r="J10" s="15"/>
    </row>
    <row r="11" spans="1:11" x14ac:dyDescent="0.25">
      <c r="A11">
        <v>2</v>
      </c>
      <c r="B11" s="1" t="s">
        <v>387</v>
      </c>
      <c r="C11" s="1" t="s">
        <v>156</v>
      </c>
      <c r="D11" s="3">
        <f>26335+11585+7178+6151</f>
        <v>51249</v>
      </c>
      <c r="E11" s="5">
        <f>D11/D$7</f>
        <v>1.1289354714988016E-3</v>
      </c>
      <c r="F11" s="34" t="s">
        <v>186</v>
      </c>
      <c r="G11" s="15" t="s">
        <v>562</v>
      </c>
      <c r="H11" s="15" t="s">
        <v>566</v>
      </c>
      <c r="I11" s="15" t="s">
        <v>564</v>
      </c>
      <c r="J11" s="15"/>
    </row>
    <row r="12" spans="1:11" x14ac:dyDescent="0.25">
      <c r="A12">
        <v>3</v>
      </c>
      <c r="B12" s="1" t="s">
        <v>388</v>
      </c>
      <c r="C12" s="1" t="s">
        <v>244</v>
      </c>
      <c r="D12" s="3">
        <f>18707+10786+7003+6786</f>
        <v>43282</v>
      </c>
      <c r="E12" s="5">
        <f>D12/D$7</f>
        <v>9.534348978011499E-4</v>
      </c>
      <c r="F12" s="18" t="s">
        <v>391</v>
      </c>
      <c r="G12" s="15" t="s">
        <v>560</v>
      </c>
      <c r="H12" s="15" t="s">
        <v>567</v>
      </c>
      <c r="I12" s="15" t="s">
        <v>564</v>
      </c>
      <c r="J12" s="17"/>
      <c r="K12" s="2"/>
    </row>
    <row r="13" spans="1:11" x14ac:dyDescent="0.25">
      <c r="A13">
        <v>4</v>
      </c>
      <c r="B13" s="1" t="s">
        <v>386</v>
      </c>
      <c r="C13" t="s">
        <v>439</v>
      </c>
      <c r="D13" s="3">
        <v>4857</v>
      </c>
      <c r="E13" s="5">
        <f>D13/D$7</f>
        <v>1.0699212833557102E-4</v>
      </c>
      <c r="F13" s="18" t="s">
        <v>445</v>
      </c>
      <c r="G13" s="15" t="s">
        <v>561</v>
      </c>
      <c r="H13" s="15" t="s">
        <v>568</v>
      </c>
      <c r="I13" s="15" t="s">
        <v>564</v>
      </c>
      <c r="J13" s="15"/>
      <c r="K13" s="9" t="s">
        <v>494</v>
      </c>
    </row>
    <row r="14" spans="1:11" x14ac:dyDescent="0.25">
      <c r="B14" s="1"/>
      <c r="E14" s="5"/>
    </row>
    <row r="15" spans="1:11" x14ac:dyDescent="0.25">
      <c r="B15" s="1"/>
      <c r="E15" s="5"/>
    </row>
    <row r="17" spans="2:2" x14ac:dyDescent="0.25">
      <c r="B17" s="1"/>
    </row>
  </sheetData>
  <autoFilter ref="A9:K9">
    <sortState ref="A7:K10">
      <sortCondition descending="1" ref="E6"/>
    </sortState>
  </autoFilter>
  <mergeCells count="1">
    <mergeCell ref="G8:K8"/>
  </mergeCells>
  <pageMargins left="0.7" right="0.7" top="0.75" bottom="0.75" header="0.3" footer="0.3"/>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Freetext!E10:E15</xm:f>
              <xm:sqref>E7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C3" sqref="C3"/>
    </sheetView>
  </sheetViews>
  <sheetFormatPr defaultRowHeight="15" x14ac:dyDescent="0.25"/>
  <cols>
    <col min="1" max="1" width="10.28515625" customWidth="1"/>
    <col min="2" max="2" width="16" customWidth="1"/>
    <col min="3" max="3" width="12.85546875" customWidth="1"/>
    <col min="4" max="4" width="13.85546875" customWidth="1"/>
    <col min="9" max="9" width="9.28515625" customWidth="1"/>
    <col min="10" max="10" width="49.140625" customWidth="1"/>
    <col min="12" max="12" width="11.140625" customWidth="1"/>
  </cols>
  <sheetData>
    <row r="1" spans="1:14" x14ac:dyDescent="0.25">
      <c r="A1" t="s">
        <v>35</v>
      </c>
      <c r="B1" t="s">
        <v>857</v>
      </c>
    </row>
    <row r="2" spans="1:14" x14ac:dyDescent="0.25">
      <c r="A2" t="s">
        <v>383</v>
      </c>
      <c r="B2" t="s">
        <v>858</v>
      </c>
    </row>
    <row r="3" spans="1:14" x14ac:dyDescent="0.25">
      <c r="A3" t="s">
        <v>385</v>
      </c>
      <c r="B3" t="s">
        <v>390</v>
      </c>
    </row>
    <row r="4" spans="1:14" x14ac:dyDescent="0.25">
      <c r="B4" t="s">
        <v>859</v>
      </c>
    </row>
    <row r="5" spans="1:14" x14ac:dyDescent="0.25">
      <c r="B5" t="s">
        <v>860</v>
      </c>
    </row>
    <row r="7" spans="1:14" x14ac:dyDescent="0.25">
      <c r="B7">
        <f>COUNTA(B11:B14)</f>
        <v>3</v>
      </c>
      <c r="C7" t="s">
        <v>913</v>
      </c>
      <c r="D7" s="3">
        <f>SUM(D11:D13)</f>
        <v>829547</v>
      </c>
      <c r="E7" s="5">
        <f>D7/D$8</f>
        <v>1.8273625506359466E-2</v>
      </c>
    </row>
    <row r="8" spans="1:14" x14ac:dyDescent="0.25">
      <c r="D8" s="3">
        <v>45395863</v>
      </c>
      <c r="E8" s="6"/>
    </row>
    <row r="9" spans="1:14" x14ac:dyDescent="0.25">
      <c r="C9" s="12"/>
      <c r="D9" s="3"/>
      <c r="F9" s="50" t="s">
        <v>546</v>
      </c>
      <c r="G9" s="50"/>
      <c r="H9" s="50"/>
      <c r="I9" s="51"/>
      <c r="J9" s="48" t="s">
        <v>547</v>
      </c>
      <c r="K9" s="49"/>
      <c r="L9" s="49"/>
      <c r="M9" s="49"/>
      <c r="N9" s="49"/>
    </row>
    <row r="10" spans="1:14" ht="15.75" thickBot="1" x14ac:dyDescent="0.3">
      <c r="A10" s="13" t="s">
        <v>454</v>
      </c>
      <c r="B10" s="13" t="s">
        <v>2</v>
      </c>
      <c r="C10" s="13" t="s">
        <v>545</v>
      </c>
      <c r="D10" s="14" t="s">
        <v>3</v>
      </c>
      <c r="E10" s="13" t="s">
        <v>34</v>
      </c>
      <c r="F10" s="19" t="s">
        <v>31</v>
      </c>
      <c r="G10" s="23" t="s">
        <v>48</v>
      </c>
      <c r="H10" s="23" t="s">
        <v>33</v>
      </c>
      <c r="I10" s="23" t="s">
        <v>32</v>
      </c>
      <c r="J10" s="24" t="s">
        <v>47</v>
      </c>
      <c r="K10" s="24" t="s">
        <v>548</v>
      </c>
      <c r="L10" s="24" t="s">
        <v>558</v>
      </c>
      <c r="M10" s="24" t="s">
        <v>45</v>
      </c>
      <c r="N10" s="24" t="s">
        <v>551</v>
      </c>
    </row>
    <row r="11" spans="1:14" x14ac:dyDescent="0.25">
      <c r="A11">
        <v>1</v>
      </c>
      <c r="B11" s="1" t="s">
        <v>4</v>
      </c>
      <c r="C11" s="1" t="s">
        <v>985</v>
      </c>
      <c r="D11" s="3">
        <f>185694+163528+3696+2827</f>
        <v>355745</v>
      </c>
      <c r="E11" s="5">
        <f>D11/D$8</f>
        <v>7.8365070403001256E-3</v>
      </c>
      <c r="F11" s="18" t="s">
        <v>181</v>
      </c>
      <c r="G11" s="18" t="s">
        <v>200</v>
      </c>
      <c r="H11" s="18"/>
      <c r="I11" s="18"/>
      <c r="J11" s="15" t="s">
        <v>44</v>
      </c>
      <c r="K11" s="15" t="s">
        <v>569</v>
      </c>
      <c r="L11" s="15"/>
      <c r="M11" s="15" t="s">
        <v>46</v>
      </c>
      <c r="N11" s="15"/>
    </row>
    <row r="12" spans="1:14" x14ac:dyDescent="0.25">
      <c r="A12">
        <v>2</v>
      </c>
      <c r="B12" s="1" t="s">
        <v>191</v>
      </c>
      <c r="C12" t="s">
        <v>350</v>
      </c>
      <c r="D12" s="3">
        <f>69749+40901+36260+56336</f>
        <v>203246</v>
      </c>
      <c r="E12" s="5">
        <f>D12/D$8</f>
        <v>4.477192117704646E-3</v>
      </c>
      <c r="F12" s="18" t="s">
        <v>188</v>
      </c>
      <c r="G12" s="18" t="s">
        <v>195</v>
      </c>
      <c r="H12" s="18" t="s">
        <v>355</v>
      </c>
      <c r="I12" s="18"/>
      <c r="J12" s="36" t="s">
        <v>150</v>
      </c>
      <c r="K12" s="15" t="s">
        <v>569</v>
      </c>
      <c r="L12" s="15"/>
      <c r="M12" s="15"/>
      <c r="N12" s="15"/>
    </row>
    <row r="13" spans="1:14" x14ac:dyDescent="0.25">
      <c r="A13">
        <v>3</v>
      </c>
      <c r="B13" s="1" t="s">
        <v>190</v>
      </c>
      <c r="C13" t="s">
        <v>351</v>
      </c>
      <c r="D13" s="3">
        <f>151794+49500+24413+20304+14151+6649+3745</f>
        <v>270556</v>
      </c>
      <c r="E13" s="5">
        <f>D13/D$8</f>
        <v>5.9599263483546949E-3</v>
      </c>
      <c r="F13" s="9" t="s">
        <v>189</v>
      </c>
      <c r="G13" s="18" t="s">
        <v>195</v>
      </c>
      <c r="H13" s="18"/>
      <c r="I13" s="18"/>
      <c r="J13" s="36" t="s">
        <v>861</v>
      </c>
      <c r="K13" s="15" t="s">
        <v>570</v>
      </c>
      <c r="L13" s="15"/>
      <c r="M13" s="15"/>
      <c r="N13" s="15"/>
    </row>
    <row r="14" spans="1:14" x14ac:dyDescent="0.25">
      <c r="D14" s="3"/>
      <c r="E14" s="5"/>
    </row>
    <row r="15" spans="1:14" x14ac:dyDescent="0.25">
      <c r="A15" t="s">
        <v>0</v>
      </c>
      <c r="B15" s="1" t="s">
        <v>36</v>
      </c>
      <c r="C15" s="1" t="s">
        <v>443</v>
      </c>
      <c r="D15" s="3">
        <f>21795+2444</f>
        <v>24239</v>
      </c>
      <c r="E15" s="5">
        <f>D15/D$8</f>
        <v>5.3394733348278891E-4</v>
      </c>
      <c r="F15" t="s">
        <v>201</v>
      </c>
      <c r="G15" t="s">
        <v>195</v>
      </c>
      <c r="N15" s="11" t="s">
        <v>495</v>
      </c>
    </row>
    <row r="16" spans="1:14" x14ac:dyDescent="0.25">
      <c r="B16" s="1"/>
      <c r="C16" s="1"/>
      <c r="D16" s="3"/>
      <c r="E16" s="5"/>
    </row>
    <row r="17" spans="1:7" x14ac:dyDescent="0.25">
      <c r="A17" t="s">
        <v>37</v>
      </c>
      <c r="E17" s="2"/>
    </row>
    <row r="18" spans="1:7" x14ac:dyDescent="0.25">
      <c r="B18" t="s">
        <v>202</v>
      </c>
      <c r="F18" t="s">
        <v>195</v>
      </c>
      <c r="G18" t="s">
        <v>195</v>
      </c>
    </row>
    <row r="19" spans="1:7" x14ac:dyDescent="0.25">
      <c r="B19" t="s">
        <v>352</v>
      </c>
      <c r="F19" t="s">
        <v>195</v>
      </c>
      <c r="G19" t="s">
        <v>195</v>
      </c>
    </row>
    <row r="22" spans="1:7" x14ac:dyDescent="0.25">
      <c r="A22" t="s">
        <v>1054</v>
      </c>
    </row>
    <row r="23" spans="1:7" x14ac:dyDescent="0.25">
      <c r="B23" t="s">
        <v>1049</v>
      </c>
      <c r="D23" s="9" t="s">
        <v>1055</v>
      </c>
    </row>
    <row r="24" spans="1:7" x14ac:dyDescent="0.25">
      <c r="B24" s="1" t="s">
        <v>1051</v>
      </c>
      <c r="C24" t="s">
        <v>1050</v>
      </c>
      <c r="D24">
        <v>5100</v>
      </c>
    </row>
    <row r="25" spans="1:7" x14ac:dyDescent="0.25">
      <c r="B25" s="1" t="s">
        <v>1053</v>
      </c>
      <c r="C25" s="2" t="s">
        <v>1052</v>
      </c>
      <c r="D25">
        <v>2380</v>
      </c>
    </row>
    <row r="27" spans="1:7" x14ac:dyDescent="0.25">
      <c r="B27" s="1"/>
      <c r="C27" s="2"/>
    </row>
    <row r="28" spans="1:7" x14ac:dyDescent="0.25">
      <c r="B28" s="1"/>
      <c r="C28" s="2"/>
    </row>
    <row r="29" spans="1:7" x14ac:dyDescent="0.25">
      <c r="B29" s="1"/>
      <c r="C29" s="2"/>
    </row>
    <row r="30" spans="1:7" x14ac:dyDescent="0.25">
      <c r="B30" s="1"/>
      <c r="C30" s="2"/>
    </row>
    <row r="31" spans="1:7" x14ac:dyDescent="0.25">
      <c r="B31" s="1"/>
      <c r="C31" s="2"/>
    </row>
    <row r="32" spans="1:7" x14ac:dyDescent="0.25">
      <c r="B32" s="1"/>
      <c r="C32" s="2"/>
    </row>
    <row r="33" spans="2:3" x14ac:dyDescent="0.25">
      <c r="B33" s="1"/>
      <c r="C33" s="2"/>
    </row>
    <row r="34" spans="2:3" x14ac:dyDescent="0.25">
      <c r="B34" s="1"/>
      <c r="C34" s="2"/>
    </row>
    <row r="35" spans="2:3" x14ac:dyDescent="0.25">
      <c r="B35" s="1"/>
      <c r="C35" s="2"/>
    </row>
  </sheetData>
  <mergeCells count="2">
    <mergeCell ref="J9:N9"/>
    <mergeCell ref="F9:I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F35" sqref="F35"/>
    </sheetView>
  </sheetViews>
  <sheetFormatPr defaultRowHeight="15" x14ac:dyDescent="0.25"/>
  <cols>
    <col min="1" max="1" width="11.140625" customWidth="1"/>
    <col min="2" max="2" width="15.85546875" customWidth="1"/>
    <col min="3" max="3" width="15.28515625" customWidth="1"/>
    <col min="4" max="4" width="14.28515625" bestFit="1" customWidth="1"/>
    <col min="6" max="6" width="12.140625" customWidth="1"/>
    <col min="7" max="7" width="11" customWidth="1"/>
    <col min="8" max="8" width="9.140625" customWidth="1"/>
    <col min="11" max="11" width="14.140625" customWidth="1"/>
  </cols>
  <sheetData>
    <row r="1" spans="1:15" x14ac:dyDescent="0.25">
      <c r="A1" t="s">
        <v>35</v>
      </c>
      <c r="B1" t="s">
        <v>863</v>
      </c>
    </row>
    <row r="2" spans="1:15" x14ac:dyDescent="0.25">
      <c r="A2" t="s">
        <v>383</v>
      </c>
      <c r="B2" t="s">
        <v>862</v>
      </c>
    </row>
    <row r="3" spans="1:15" x14ac:dyDescent="0.25">
      <c r="A3" t="s">
        <v>385</v>
      </c>
      <c r="B3" t="s">
        <v>456</v>
      </c>
    </row>
    <row r="4" spans="1:15" x14ac:dyDescent="0.25">
      <c r="B4" t="s">
        <v>455</v>
      </c>
    </row>
    <row r="5" spans="1:15" x14ac:dyDescent="0.25">
      <c r="B5" t="s">
        <v>849</v>
      </c>
    </row>
    <row r="6" spans="1:15" x14ac:dyDescent="0.25">
      <c r="B6" t="s">
        <v>864</v>
      </c>
    </row>
    <row r="7" spans="1:15" x14ac:dyDescent="0.25">
      <c r="B7" t="s">
        <v>486</v>
      </c>
    </row>
    <row r="9" spans="1:15" x14ac:dyDescent="0.25">
      <c r="B9">
        <f>COUNTA(B13:B51)</f>
        <v>19</v>
      </c>
      <c r="C9" t="s">
        <v>913</v>
      </c>
      <c r="D9" s="4">
        <f>SUM(D13:D24)</f>
        <v>4359026</v>
      </c>
      <c r="E9" s="5">
        <f>D9/D$10</f>
        <v>9.6022538441443442E-2</v>
      </c>
    </row>
    <row r="10" spans="1:15" x14ac:dyDescent="0.25">
      <c r="C10" s="12" t="s">
        <v>544</v>
      </c>
      <c r="D10" s="4">
        <v>45395863</v>
      </c>
    </row>
    <row r="11" spans="1:15" x14ac:dyDescent="0.25">
      <c r="C11" s="12"/>
      <c r="D11" s="3"/>
      <c r="F11" s="50" t="s">
        <v>546</v>
      </c>
      <c r="G11" s="50"/>
      <c r="H11" s="50"/>
      <c r="I11" s="50"/>
      <c r="J11" s="50"/>
      <c r="K11" s="48" t="s">
        <v>547</v>
      </c>
      <c r="L11" s="49"/>
      <c r="M11" s="49"/>
      <c r="N11" s="49"/>
      <c r="O11" s="49"/>
    </row>
    <row r="12" spans="1:15" ht="15.75" thickBot="1" x14ac:dyDescent="0.3">
      <c r="A12" s="13" t="s">
        <v>454</v>
      </c>
      <c r="B12" s="13" t="s">
        <v>2</v>
      </c>
      <c r="C12" s="13" t="s">
        <v>545</v>
      </c>
      <c r="D12" s="14" t="s">
        <v>3</v>
      </c>
      <c r="E12" s="13" t="s">
        <v>34</v>
      </c>
      <c r="F12" s="23" t="s">
        <v>57</v>
      </c>
      <c r="G12" s="23" t="s">
        <v>31</v>
      </c>
      <c r="H12" s="23" t="s">
        <v>151</v>
      </c>
      <c r="I12" s="23" t="s">
        <v>33</v>
      </c>
      <c r="J12" s="23" t="s">
        <v>32</v>
      </c>
      <c r="K12" s="26" t="s">
        <v>47</v>
      </c>
      <c r="L12" s="26" t="s">
        <v>548</v>
      </c>
      <c r="M12" s="26" t="s">
        <v>558</v>
      </c>
      <c r="N12" s="26" t="s">
        <v>45</v>
      </c>
      <c r="O12" s="24" t="s">
        <v>551</v>
      </c>
    </row>
    <row r="13" spans="1:15" x14ac:dyDescent="0.25">
      <c r="A13">
        <v>1</v>
      </c>
      <c r="B13" s="1" t="s">
        <v>56</v>
      </c>
      <c r="C13" t="s">
        <v>986</v>
      </c>
      <c r="D13" s="3">
        <f>1421872+736097+436744+12152+47881+43040+12321+771</f>
        <v>2710878</v>
      </c>
      <c r="E13" s="5">
        <f t="shared" ref="E13:E31" si="0">D13/D$10</f>
        <v>5.9716410722272205E-2</v>
      </c>
      <c r="F13" s="42" t="s">
        <v>827</v>
      </c>
      <c r="G13" s="30" t="s">
        <v>459</v>
      </c>
      <c r="H13" s="30" t="s">
        <v>476</v>
      </c>
      <c r="I13" s="30" t="s">
        <v>354</v>
      </c>
      <c r="J13" s="28"/>
      <c r="K13" s="27" t="s">
        <v>842</v>
      </c>
      <c r="L13" s="27" t="s">
        <v>843</v>
      </c>
      <c r="M13" s="27" t="s">
        <v>63</v>
      </c>
      <c r="N13" s="27"/>
    </row>
    <row r="14" spans="1:15" x14ac:dyDescent="0.25">
      <c r="A14">
        <v>2</v>
      </c>
      <c r="B14" s="1" t="s">
        <v>68</v>
      </c>
      <c r="C14" t="s">
        <v>613</v>
      </c>
      <c r="D14" s="3">
        <f>783992+177114+94329+43499+6611+17174+14359+9974+5471+3621</f>
        <v>1156144</v>
      </c>
      <c r="E14" s="5">
        <f t="shared" si="0"/>
        <v>2.5468047606012029E-2</v>
      </c>
      <c r="F14" s="39" t="s">
        <v>840</v>
      </c>
      <c r="G14" s="31" t="s">
        <v>460</v>
      </c>
      <c r="H14" s="31" t="s">
        <v>477</v>
      </c>
      <c r="I14" s="31" t="s">
        <v>353</v>
      </c>
      <c r="J14" s="29"/>
      <c r="K14" s="27"/>
      <c r="L14" s="27"/>
      <c r="M14" s="27"/>
      <c r="N14" s="27"/>
    </row>
    <row r="15" spans="1:15" x14ac:dyDescent="0.25">
      <c r="A15">
        <v>3</v>
      </c>
      <c r="B15" s="1" t="s">
        <v>58</v>
      </c>
      <c r="C15" t="s">
        <v>491</v>
      </c>
      <c r="D15" s="3">
        <f>44892+27481+18927+3566+3373</f>
        <v>98239</v>
      </c>
      <c r="E15" s="5">
        <f t="shared" si="0"/>
        <v>2.164051821197892E-3</v>
      </c>
      <c r="F15" s="39" t="s">
        <v>839</v>
      </c>
      <c r="G15" s="32" t="s">
        <v>192</v>
      </c>
      <c r="H15" s="32" t="s">
        <v>480</v>
      </c>
      <c r="I15" s="32" t="s">
        <v>357</v>
      </c>
      <c r="J15" s="29"/>
      <c r="K15" s="27"/>
      <c r="L15" s="27"/>
      <c r="M15" s="27"/>
      <c r="N15" s="27"/>
      <c r="O15" s="9" t="s">
        <v>492</v>
      </c>
    </row>
    <row r="16" spans="1:15" x14ac:dyDescent="0.25">
      <c r="A16">
        <v>4</v>
      </c>
      <c r="B16" s="1" t="s">
        <v>59</v>
      </c>
      <c r="C16" s="1" t="s">
        <v>451</v>
      </c>
      <c r="D16" s="3">
        <f>40211+39522+3403</f>
        <v>83136</v>
      </c>
      <c r="E16" s="5">
        <f t="shared" si="0"/>
        <v>1.8313563066308487E-3</v>
      </c>
      <c r="F16" s="40" t="s">
        <v>830</v>
      </c>
      <c r="G16" s="32" t="s">
        <v>461</v>
      </c>
      <c r="H16" s="32" t="s">
        <v>474</v>
      </c>
      <c r="I16" s="31" t="s">
        <v>356</v>
      </c>
      <c r="J16" s="29"/>
      <c r="K16" s="27"/>
      <c r="L16" s="27"/>
      <c r="M16" s="27"/>
      <c r="N16" s="27"/>
    </row>
    <row r="17" spans="1:15" x14ac:dyDescent="0.25">
      <c r="A17">
        <v>5</v>
      </c>
      <c r="B17" s="9" t="s">
        <v>154</v>
      </c>
      <c r="C17" t="s">
        <v>447</v>
      </c>
      <c r="D17" s="3">
        <f>52216+14542</f>
        <v>66758</v>
      </c>
      <c r="E17" s="5">
        <f t="shared" si="0"/>
        <v>1.4705745323092547E-3</v>
      </c>
      <c r="F17" s="39" t="s">
        <v>838</v>
      </c>
      <c r="G17" s="32" t="s">
        <v>194</v>
      </c>
      <c r="H17" s="32" t="s">
        <v>195</v>
      </c>
      <c r="I17" s="32" t="s">
        <v>362</v>
      </c>
      <c r="J17" s="29"/>
      <c r="K17" s="27"/>
      <c r="L17" s="27"/>
      <c r="M17" s="27"/>
      <c r="N17" s="27"/>
      <c r="O17" s="9" t="s">
        <v>516</v>
      </c>
    </row>
    <row r="18" spans="1:15" x14ac:dyDescent="0.25">
      <c r="A18">
        <v>6</v>
      </c>
      <c r="B18" s="1" t="s">
        <v>152</v>
      </c>
      <c r="C18" t="s">
        <v>346</v>
      </c>
      <c r="D18" s="3">
        <f>28080+13884+13771+4320</f>
        <v>60055</v>
      </c>
      <c r="E18" s="5">
        <f t="shared" si="0"/>
        <v>1.3229179055368988E-3</v>
      </c>
      <c r="F18" s="39" t="s">
        <v>822</v>
      </c>
      <c r="G18" s="32" t="s">
        <v>193</v>
      </c>
      <c r="H18" s="32" t="s">
        <v>483</v>
      </c>
      <c r="I18" s="32" t="s">
        <v>358</v>
      </c>
      <c r="J18" s="29"/>
      <c r="K18" s="27"/>
      <c r="L18" s="27"/>
      <c r="M18" s="27"/>
      <c r="N18" s="27"/>
    </row>
    <row r="19" spans="1:15" x14ac:dyDescent="0.25">
      <c r="A19">
        <v>7</v>
      </c>
      <c r="B19" s="1" t="s">
        <v>60</v>
      </c>
      <c r="C19" t="s">
        <v>345</v>
      </c>
      <c r="D19" s="3">
        <f>38404+20806</f>
        <v>59210</v>
      </c>
      <c r="E19" s="5">
        <f t="shared" si="0"/>
        <v>1.3043038745623142E-3</v>
      </c>
      <c r="F19" s="39" t="s">
        <v>837</v>
      </c>
      <c r="G19" s="32" t="s">
        <v>462</v>
      </c>
      <c r="H19" s="32" t="s">
        <v>473</v>
      </c>
      <c r="I19" s="32" t="s">
        <v>360</v>
      </c>
      <c r="J19" s="29"/>
      <c r="K19" s="27"/>
      <c r="L19" s="27"/>
      <c r="M19" s="27"/>
      <c r="N19" s="27"/>
    </row>
    <row r="20" spans="1:15" x14ac:dyDescent="0.25">
      <c r="A20">
        <v>8</v>
      </c>
      <c r="B20" s="1" t="s">
        <v>62</v>
      </c>
      <c r="C20" t="s">
        <v>448</v>
      </c>
      <c r="D20" s="3">
        <f>31448+9027+6003</f>
        <v>46478</v>
      </c>
      <c r="E20" s="5">
        <f t="shared" si="0"/>
        <v>1.0238377889192237E-3</v>
      </c>
      <c r="F20" s="40" t="s">
        <v>836</v>
      </c>
      <c r="G20" s="32" t="s">
        <v>463</v>
      </c>
      <c r="H20" s="32" t="s">
        <v>481</v>
      </c>
      <c r="I20" s="32" t="s">
        <v>359</v>
      </c>
      <c r="J20" s="29"/>
      <c r="K20" s="27"/>
      <c r="L20" s="27"/>
      <c r="M20" s="27"/>
      <c r="N20" s="27"/>
    </row>
    <row r="21" spans="1:15" x14ac:dyDescent="0.25">
      <c r="A21">
        <v>9</v>
      </c>
      <c r="B21" s="1" t="s">
        <v>61</v>
      </c>
      <c r="C21" s="1" t="s">
        <v>450</v>
      </c>
      <c r="D21" s="3">
        <f>33283+3849</f>
        <v>37132</v>
      </c>
      <c r="E21" s="5">
        <f t="shared" si="0"/>
        <v>8.1795999780861085E-4</v>
      </c>
      <c r="F21" s="39" t="s">
        <v>829</v>
      </c>
      <c r="G21" s="32" t="s">
        <v>464</v>
      </c>
      <c r="H21" s="32" t="s">
        <v>475</v>
      </c>
      <c r="I21" s="32" t="s">
        <v>361</v>
      </c>
      <c r="J21" s="29"/>
      <c r="K21" s="27"/>
      <c r="L21" s="27"/>
      <c r="M21" s="27"/>
      <c r="N21" s="27"/>
    </row>
    <row r="22" spans="1:15" x14ac:dyDescent="0.25">
      <c r="A22">
        <v>10</v>
      </c>
      <c r="B22" s="1" t="s">
        <v>71</v>
      </c>
      <c r="C22" s="9" t="s">
        <v>449</v>
      </c>
      <c r="D22" s="3">
        <f>9393+4455+3629</f>
        <v>17477</v>
      </c>
      <c r="E22" s="5">
        <f t="shared" si="0"/>
        <v>3.8499102880806563E-4</v>
      </c>
      <c r="F22" s="41" t="s">
        <v>835</v>
      </c>
      <c r="G22" s="31" t="s">
        <v>465</v>
      </c>
      <c r="H22" s="32" t="s">
        <v>490</v>
      </c>
      <c r="I22" s="32" t="s">
        <v>364</v>
      </c>
      <c r="J22" s="29"/>
      <c r="K22" s="27"/>
      <c r="L22" s="27"/>
      <c r="M22" s="27"/>
      <c r="N22" s="27"/>
      <c r="O22" s="9" t="s">
        <v>865</v>
      </c>
    </row>
    <row r="23" spans="1:15" x14ac:dyDescent="0.25">
      <c r="A23">
        <v>11</v>
      </c>
      <c r="B23" s="1" t="s">
        <v>70</v>
      </c>
      <c r="C23" t="s">
        <v>452</v>
      </c>
      <c r="D23" s="3">
        <f>8855+2955</f>
        <v>11810</v>
      </c>
      <c r="E23" s="5">
        <f t="shared" si="0"/>
        <v>2.6015586486372115E-4</v>
      </c>
      <c r="F23" s="39" t="s">
        <v>823</v>
      </c>
      <c r="G23" s="31" t="s">
        <v>458</v>
      </c>
      <c r="H23" s="31" t="s">
        <v>482</v>
      </c>
      <c r="I23" s="32" t="s">
        <v>365</v>
      </c>
      <c r="J23" s="29"/>
      <c r="K23" s="27"/>
      <c r="L23" s="27"/>
      <c r="M23" s="27"/>
      <c r="N23" s="27"/>
    </row>
    <row r="24" spans="1:15" x14ac:dyDescent="0.25">
      <c r="A24">
        <v>12</v>
      </c>
      <c r="B24" s="1" t="s">
        <v>321</v>
      </c>
      <c r="C24" t="s">
        <v>453</v>
      </c>
      <c r="D24" s="3">
        <f>5773+3230+2706</f>
        <v>11709</v>
      </c>
      <c r="E24" s="5">
        <f t="shared" si="0"/>
        <v>2.5793099252238027E-4</v>
      </c>
      <c r="F24" s="39" t="s">
        <v>824</v>
      </c>
      <c r="G24" s="31" t="s">
        <v>466</v>
      </c>
      <c r="H24" s="31" t="s">
        <v>472</v>
      </c>
      <c r="I24" s="43" t="s">
        <v>844</v>
      </c>
      <c r="J24" s="29"/>
      <c r="K24" s="27"/>
      <c r="L24" s="27"/>
      <c r="M24" s="27"/>
      <c r="N24" s="27"/>
    </row>
    <row r="25" spans="1:15" x14ac:dyDescent="0.25">
      <c r="A25">
        <v>13</v>
      </c>
      <c r="B25" s="1" t="s">
        <v>153</v>
      </c>
      <c r="C25" t="s">
        <v>69</v>
      </c>
      <c r="D25" s="3">
        <v>9599</v>
      </c>
      <c r="E25" s="5">
        <f t="shared" si="0"/>
        <v>2.1145098618347667E-4</v>
      </c>
      <c r="F25" s="39" t="s">
        <v>834</v>
      </c>
      <c r="G25" s="32" t="s">
        <v>484</v>
      </c>
      <c r="H25" s="32" t="s">
        <v>195</v>
      </c>
      <c r="I25" s="32" t="s">
        <v>363</v>
      </c>
      <c r="J25" s="29"/>
      <c r="K25" s="27"/>
      <c r="L25" s="27"/>
      <c r="M25" s="27"/>
      <c r="N25" s="27"/>
    </row>
    <row r="26" spans="1:15" x14ac:dyDescent="0.25">
      <c r="A26">
        <v>14</v>
      </c>
      <c r="B26" t="s">
        <v>320</v>
      </c>
      <c r="C26" t="s">
        <v>274</v>
      </c>
      <c r="D26" s="3">
        <v>6008</v>
      </c>
      <c r="E26" s="5">
        <f t="shared" si="0"/>
        <v>1.3234686165124781E-4</v>
      </c>
      <c r="F26" s="39" t="s">
        <v>825</v>
      </c>
      <c r="G26" s="32" t="s">
        <v>467</v>
      </c>
      <c r="H26" s="32" t="s">
        <v>485</v>
      </c>
      <c r="I26" s="43" t="s">
        <v>845</v>
      </c>
      <c r="J26" s="29"/>
      <c r="K26" s="27"/>
      <c r="L26" s="27"/>
      <c r="M26" s="27"/>
      <c r="N26" s="27"/>
    </row>
    <row r="27" spans="1:15" x14ac:dyDescent="0.25">
      <c r="A27">
        <v>15</v>
      </c>
      <c r="B27" s="1" t="s">
        <v>344</v>
      </c>
      <c r="C27" s="1" t="s">
        <v>342</v>
      </c>
      <c r="D27" s="3">
        <v>4150</v>
      </c>
      <c r="E27" s="5">
        <f t="shared" si="0"/>
        <v>9.141802194618483E-5</v>
      </c>
      <c r="F27" s="39" t="s">
        <v>826</v>
      </c>
      <c r="G27" s="31" t="s">
        <v>468</v>
      </c>
      <c r="H27" s="32" t="s">
        <v>487</v>
      </c>
      <c r="I27" s="32" t="s">
        <v>366</v>
      </c>
      <c r="J27" s="29"/>
      <c r="K27" s="27"/>
      <c r="L27" s="27"/>
      <c r="M27" s="27"/>
      <c r="N27" s="27"/>
    </row>
    <row r="28" spans="1:15" x14ac:dyDescent="0.25">
      <c r="A28">
        <v>16</v>
      </c>
      <c r="B28" t="s">
        <v>294</v>
      </c>
      <c r="C28" t="s">
        <v>291</v>
      </c>
      <c r="D28" s="3">
        <v>3854</v>
      </c>
      <c r="E28" s="5">
        <f t="shared" si="0"/>
        <v>8.4897603995324415E-5</v>
      </c>
      <c r="F28" s="39" t="s">
        <v>828</v>
      </c>
      <c r="G28" s="31" t="s">
        <v>457</v>
      </c>
      <c r="H28" s="31" t="s">
        <v>478</v>
      </c>
      <c r="I28" s="43" t="s">
        <v>846</v>
      </c>
      <c r="J28" s="29"/>
      <c r="K28" s="27"/>
      <c r="L28" s="27"/>
      <c r="M28" s="27"/>
      <c r="N28" s="27"/>
    </row>
    <row r="29" spans="1:15" x14ac:dyDescent="0.25">
      <c r="A29">
        <v>17</v>
      </c>
      <c r="B29" s="1" t="s">
        <v>267</v>
      </c>
      <c r="C29" s="1" t="s">
        <v>343</v>
      </c>
      <c r="D29" s="3">
        <v>3766</v>
      </c>
      <c r="E29" s="5">
        <f t="shared" si="0"/>
        <v>8.2959101361284834E-5</v>
      </c>
      <c r="F29" s="39" t="s">
        <v>831</v>
      </c>
      <c r="G29" s="31" t="s">
        <v>469</v>
      </c>
      <c r="H29" s="31" t="s">
        <v>479</v>
      </c>
      <c r="I29" s="32" t="s">
        <v>367</v>
      </c>
      <c r="J29" s="29"/>
      <c r="K29" s="27"/>
      <c r="L29" s="27"/>
      <c r="M29" s="27"/>
      <c r="N29" s="27"/>
    </row>
    <row r="30" spans="1:15" x14ac:dyDescent="0.25">
      <c r="A30">
        <v>18</v>
      </c>
      <c r="B30" t="s">
        <v>308</v>
      </c>
      <c r="C30" t="s">
        <v>301</v>
      </c>
      <c r="D30" s="3">
        <v>2812</v>
      </c>
      <c r="E30" s="5">
        <f t="shared" si="0"/>
        <v>6.1943970533173914E-5</v>
      </c>
      <c r="F30" s="39" t="s">
        <v>832</v>
      </c>
      <c r="G30" s="31" t="s">
        <v>470</v>
      </c>
      <c r="H30" s="31" t="s">
        <v>488</v>
      </c>
      <c r="I30" s="43" t="s">
        <v>847</v>
      </c>
      <c r="J30" s="29"/>
      <c r="K30" s="27"/>
      <c r="L30" s="27"/>
      <c r="M30" s="27"/>
      <c r="N30" s="27"/>
    </row>
    <row r="31" spans="1:15" x14ac:dyDescent="0.25">
      <c r="A31">
        <v>19</v>
      </c>
      <c r="B31" t="s">
        <v>325</v>
      </c>
      <c r="C31" t="s">
        <v>300</v>
      </c>
      <c r="D31" s="3">
        <v>2547</v>
      </c>
      <c r="E31" s="5">
        <f t="shared" si="0"/>
        <v>5.6106434192031993E-5</v>
      </c>
      <c r="F31" s="39" t="s">
        <v>833</v>
      </c>
      <c r="G31" s="31" t="s">
        <v>471</v>
      </c>
      <c r="H31" s="31" t="s">
        <v>489</v>
      </c>
      <c r="I31" s="43" t="s">
        <v>848</v>
      </c>
      <c r="J31" s="29"/>
      <c r="K31" s="27"/>
      <c r="L31" s="27"/>
      <c r="M31" s="27"/>
      <c r="N31" s="27"/>
    </row>
    <row r="36" spans="3:8" x14ac:dyDescent="0.25">
      <c r="C36" s="1"/>
      <c r="D36" s="2"/>
    </row>
    <row r="37" spans="3:8" x14ac:dyDescent="0.25">
      <c r="C37" s="1"/>
      <c r="D37" s="2"/>
    </row>
    <row r="38" spans="3:8" x14ac:dyDescent="0.25">
      <c r="C38" s="1"/>
      <c r="D38" s="2"/>
    </row>
    <row r="39" spans="3:8" x14ac:dyDescent="0.25">
      <c r="C39" s="1"/>
      <c r="D39" s="2"/>
      <c r="F39" s="1"/>
      <c r="G39" s="2"/>
      <c r="H39" s="2"/>
    </row>
    <row r="40" spans="3:8" x14ac:dyDescent="0.25">
      <c r="C40" s="1"/>
      <c r="D40" s="2"/>
    </row>
    <row r="41" spans="3:8" x14ac:dyDescent="0.25">
      <c r="C41" s="1"/>
      <c r="D41" s="2"/>
    </row>
    <row r="42" spans="3:8" x14ac:dyDescent="0.25">
      <c r="C42" s="1"/>
      <c r="D42" s="2"/>
      <c r="F42" s="1"/>
      <c r="G42" s="2"/>
      <c r="H42" s="2"/>
    </row>
    <row r="43" spans="3:8" x14ac:dyDescent="0.25">
      <c r="C43" s="1"/>
      <c r="D43" s="2"/>
      <c r="F43" s="1"/>
      <c r="G43" s="2"/>
      <c r="H43" s="2"/>
    </row>
    <row r="44" spans="3:8" x14ac:dyDescent="0.25">
      <c r="C44" s="1"/>
      <c r="D44" s="2"/>
      <c r="F44" s="1"/>
      <c r="G44" s="2"/>
      <c r="H44" s="2"/>
    </row>
    <row r="45" spans="3:8" x14ac:dyDescent="0.25">
      <c r="C45" s="1"/>
      <c r="D45" s="2"/>
      <c r="F45" s="1"/>
      <c r="G45" s="2"/>
      <c r="H45" s="2"/>
    </row>
    <row r="46" spans="3:8" x14ac:dyDescent="0.25">
      <c r="C46" s="1"/>
      <c r="D46" s="2"/>
    </row>
    <row r="47" spans="3:8" x14ac:dyDescent="0.25">
      <c r="C47" s="1"/>
      <c r="D47" s="2"/>
      <c r="F47" s="1"/>
      <c r="G47" s="2"/>
      <c r="H47" s="2"/>
    </row>
    <row r="48" spans="3:8" x14ac:dyDescent="0.25">
      <c r="C48" s="1"/>
      <c r="D48" s="2"/>
    </row>
    <row r="49" spans="3:4" x14ac:dyDescent="0.25">
      <c r="C49" s="1"/>
      <c r="D49" s="2"/>
    </row>
    <row r="50" spans="3:4" x14ac:dyDescent="0.25">
      <c r="C50" s="1"/>
      <c r="D50" s="2"/>
    </row>
    <row r="51" spans="3:4" x14ac:dyDescent="0.25">
      <c r="C51" s="1"/>
      <c r="D51" s="2"/>
    </row>
    <row r="52" spans="3:4" x14ac:dyDescent="0.25">
      <c r="C52" s="1"/>
      <c r="D52" s="2"/>
    </row>
    <row r="53" spans="3:4" x14ac:dyDescent="0.25">
      <c r="C53" s="1"/>
      <c r="D53" s="2"/>
    </row>
    <row r="54" spans="3:4" x14ac:dyDescent="0.25">
      <c r="C54" s="1"/>
      <c r="D54" s="2"/>
    </row>
    <row r="55" spans="3:4" x14ac:dyDescent="0.25">
      <c r="C55" s="1"/>
      <c r="D55" s="2"/>
    </row>
    <row r="56" spans="3:4" x14ac:dyDescent="0.25">
      <c r="C56" s="1"/>
      <c r="D56" s="2"/>
    </row>
    <row r="57" spans="3:4" x14ac:dyDescent="0.25">
      <c r="C57" s="1"/>
      <c r="D57" s="2"/>
    </row>
  </sheetData>
  <autoFilter ref="A12:N12">
    <sortState ref="A8:M27">
      <sortCondition descending="1" ref="E7"/>
    </sortState>
  </autoFilter>
  <mergeCells count="2">
    <mergeCell ref="F11:J11"/>
    <mergeCell ref="K11:O11"/>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'Med Classes'!D13:D26</xm:f>
              <xm:sqref>E10</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1"/>
  <sheetViews>
    <sheetView topLeftCell="A221" workbookViewId="0">
      <selection activeCell="L251" sqref="L251"/>
    </sheetView>
  </sheetViews>
  <sheetFormatPr defaultRowHeight="15" x14ac:dyDescent="0.25"/>
  <cols>
    <col min="2" max="2" width="19.42578125" customWidth="1"/>
    <col min="3" max="3" width="19.85546875" customWidth="1"/>
    <col min="4" max="6" width="9.140625" hidden="1" customWidth="1"/>
    <col min="7" max="7" width="8.42578125" hidden="1" customWidth="1"/>
    <col min="8" max="8" width="6.5703125" hidden="1" customWidth="1"/>
    <col min="9" max="9" width="8.5703125" hidden="1" customWidth="1"/>
    <col min="10" max="10" width="13.140625" customWidth="1"/>
    <col min="12" max="12" width="26.42578125" customWidth="1"/>
    <col min="13" max="13" width="23.7109375" customWidth="1"/>
    <col min="14" max="14" width="37.28515625" customWidth="1"/>
    <col min="15" max="15" width="30.140625" customWidth="1"/>
    <col min="16" max="16" width="16.5703125" customWidth="1"/>
  </cols>
  <sheetData>
    <row r="1" spans="1:22" x14ac:dyDescent="0.25">
      <c r="A1" t="s">
        <v>30</v>
      </c>
      <c r="B1" t="s">
        <v>393</v>
      </c>
    </row>
    <row r="2" spans="1:22" x14ac:dyDescent="0.25">
      <c r="A2" t="s">
        <v>383</v>
      </c>
      <c r="B2" t="s">
        <v>866</v>
      </c>
    </row>
    <row r="3" spans="1:22" x14ac:dyDescent="0.25">
      <c r="B3" t="s">
        <v>867</v>
      </c>
    </row>
    <row r="4" spans="1:22" x14ac:dyDescent="0.25">
      <c r="B4" t="s">
        <v>868</v>
      </c>
    </row>
    <row r="5" spans="1:22" x14ac:dyDescent="0.25">
      <c r="B5" t="s">
        <v>869</v>
      </c>
    </row>
    <row r="6" spans="1:22" x14ac:dyDescent="0.25">
      <c r="B6" t="s">
        <v>870</v>
      </c>
    </row>
    <row r="7" spans="1:22" x14ac:dyDescent="0.25">
      <c r="A7" t="s">
        <v>385</v>
      </c>
      <c r="B7" t="s">
        <v>871</v>
      </c>
    </row>
    <row r="8" spans="1:22" x14ac:dyDescent="0.25">
      <c r="B8" t="s">
        <v>585</v>
      </c>
    </row>
    <row r="9" spans="1:22" x14ac:dyDescent="0.25">
      <c r="B9" t="s">
        <v>841</v>
      </c>
    </row>
    <row r="10" spans="1:22" x14ac:dyDescent="0.25">
      <c r="B10" t="s">
        <v>1062</v>
      </c>
    </row>
    <row r="12" spans="1:22" x14ac:dyDescent="0.25">
      <c r="B12">
        <f>COUNTA(B16:B1000)</f>
        <v>236</v>
      </c>
      <c r="C12" t="s">
        <v>913</v>
      </c>
      <c r="J12" s="3">
        <f>SUM(J16:J1000)-0.5*F13</f>
        <v>9415425.5</v>
      </c>
      <c r="K12" s="5">
        <f>J12/J$13</f>
        <v>0.20740712650401646</v>
      </c>
    </row>
    <row r="13" spans="1:22" x14ac:dyDescent="0.25">
      <c r="C13" s="12" t="s">
        <v>544</v>
      </c>
      <c r="F13">
        <f>SUM(F16:F1005)</f>
        <v>1835185</v>
      </c>
      <c r="J13" s="3">
        <v>45395863</v>
      </c>
    </row>
    <row r="14" spans="1:22" x14ac:dyDescent="0.25">
      <c r="D14" s="52" t="s">
        <v>581</v>
      </c>
      <c r="E14" s="52"/>
      <c r="F14" s="52"/>
      <c r="G14" s="52"/>
      <c r="H14" s="52"/>
      <c r="I14" s="52"/>
      <c r="J14" s="3"/>
      <c r="L14" s="53" t="s">
        <v>546</v>
      </c>
      <c r="M14" s="53"/>
      <c r="N14" s="53"/>
      <c r="O14" s="53"/>
      <c r="P14" s="53"/>
      <c r="Q14" s="54"/>
      <c r="R14" s="48" t="s">
        <v>547</v>
      </c>
      <c r="S14" s="49"/>
      <c r="T14" s="49"/>
      <c r="U14" s="49"/>
      <c r="V14" s="49"/>
    </row>
    <row r="15" spans="1:22" ht="15.75" thickBot="1" x14ac:dyDescent="0.3">
      <c r="A15" s="13" t="s">
        <v>454</v>
      </c>
      <c r="B15" s="13" t="s">
        <v>373</v>
      </c>
      <c r="C15" s="13" t="s">
        <v>141</v>
      </c>
      <c r="D15" s="13" t="s">
        <v>938</v>
      </c>
      <c r="E15" s="13" t="s">
        <v>937</v>
      </c>
      <c r="F15" s="13" t="s">
        <v>127</v>
      </c>
      <c r="G15" s="13" t="s">
        <v>135</v>
      </c>
      <c r="H15" s="13" t="s">
        <v>128</v>
      </c>
      <c r="I15" s="13" t="s">
        <v>139</v>
      </c>
      <c r="J15" s="13" t="s">
        <v>3</v>
      </c>
      <c r="K15" s="13" t="s">
        <v>34</v>
      </c>
      <c r="L15" s="19" t="s">
        <v>372</v>
      </c>
      <c r="M15" s="19" t="s">
        <v>48</v>
      </c>
      <c r="N15" s="19" t="s">
        <v>31</v>
      </c>
      <c r="O15" s="19" t="s">
        <v>151</v>
      </c>
      <c r="P15" s="19" t="s">
        <v>33</v>
      </c>
      <c r="Q15" s="19" t="s">
        <v>32</v>
      </c>
      <c r="R15" s="24" t="s">
        <v>47</v>
      </c>
      <c r="S15" s="24" t="s">
        <v>548</v>
      </c>
      <c r="T15" s="24" t="s">
        <v>558</v>
      </c>
      <c r="U15" s="24" t="s">
        <v>45</v>
      </c>
      <c r="V15" s="24" t="s">
        <v>551</v>
      </c>
    </row>
    <row r="16" spans="1:22" x14ac:dyDescent="0.25">
      <c r="A16">
        <v>1</v>
      </c>
      <c r="B16" s="1" t="s">
        <v>245</v>
      </c>
      <c r="C16" t="s">
        <v>978</v>
      </c>
      <c r="D16" s="2">
        <f>765012+293339</f>
        <v>1058351</v>
      </c>
      <c r="E16" s="2"/>
      <c r="F16" s="2">
        <f>21970+3930+2957</f>
        <v>28857</v>
      </c>
      <c r="G16" s="2"/>
      <c r="H16">
        <v>4772</v>
      </c>
      <c r="I16">
        <v>3630</v>
      </c>
      <c r="J16">
        <f t="shared" ref="J16:J79" si="0">SUM(D16:I16)</f>
        <v>1095610</v>
      </c>
      <c r="K16" s="5">
        <f t="shared" ref="K16:K79" si="1">J16/J$13</f>
        <v>2.4134578078183026E-2</v>
      </c>
      <c r="L16" s="18" t="s">
        <v>1063</v>
      </c>
      <c r="M16" s="18" t="s">
        <v>536</v>
      </c>
      <c r="N16" s="18" t="s">
        <v>508</v>
      </c>
      <c r="O16" s="21" t="s">
        <v>665</v>
      </c>
      <c r="P16" s="21" t="s">
        <v>675</v>
      </c>
      <c r="Q16" s="18"/>
      <c r="R16" s="15"/>
      <c r="S16" s="15" t="s">
        <v>582</v>
      </c>
      <c r="T16" s="15"/>
      <c r="U16" s="15"/>
      <c r="V16" s="15"/>
    </row>
    <row r="17" spans="1:22" x14ac:dyDescent="0.25">
      <c r="A17">
        <v>2</v>
      </c>
      <c r="B17" s="1" t="s">
        <v>11</v>
      </c>
      <c r="C17" t="s">
        <v>965</v>
      </c>
      <c r="D17" s="2">
        <f>74148+13319</f>
        <v>87467</v>
      </c>
      <c r="E17">
        <f>5241</f>
        <v>5241</v>
      </c>
      <c r="F17" s="2">
        <f>202333+93130+51444+21970+38277+19572+10513+3993+3930+3878+3600+3930+3151</f>
        <v>459721</v>
      </c>
      <c r="G17" s="2"/>
      <c r="H17" s="1"/>
      <c r="I17" s="2">
        <v>7048</v>
      </c>
      <c r="J17">
        <f t="shared" si="0"/>
        <v>559477</v>
      </c>
      <c r="K17" s="5">
        <f t="shared" si="1"/>
        <v>1.2324404979370037E-2</v>
      </c>
      <c r="L17" s="18" t="s">
        <v>1064</v>
      </c>
      <c r="M17" s="18" t="s">
        <v>535</v>
      </c>
      <c r="N17" s="18" t="s">
        <v>509</v>
      </c>
      <c r="O17" s="21" t="s">
        <v>667</v>
      </c>
      <c r="P17" s="33" t="s">
        <v>676</v>
      </c>
      <c r="Q17" s="20"/>
      <c r="R17" s="15"/>
      <c r="S17" s="15"/>
      <c r="T17" s="15"/>
      <c r="U17" s="15"/>
      <c r="V17" s="15"/>
    </row>
    <row r="18" spans="1:22" x14ac:dyDescent="0.25">
      <c r="A18">
        <v>3</v>
      </c>
      <c r="B18" s="1" t="s">
        <v>246</v>
      </c>
      <c r="C18" t="s">
        <v>948</v>
      </c>
      <c r="D18" s="2">
        <f>401320+120427</f>
        <v>521747</v>
      </c>
      <c r="E18" s="2"/>
      <c r="F18" s="1"/>
      <c r="G18" s="1"/>
      <c r="H18">
        <v>4442</v>
      </c>
      <c r="I18" s="1"/>
      <c r="J18">
        <f t="shared" si="0"/>
        <v>526189</v>
      </c>
      <c r="K18" s="5">
        <f t="shared" si="1"/>
        <v>1.1591122301166518E-2</v>
      </c>
      <c r="L18" s="18" t="s">
        <v>1065</v>
      </c>
      <c r="M18" s="18" t="s">
        <v>537</v>
      </c>
      <c r="N18" s="18" t="s">
        <v>510</v>
      </c>
      <c r="O18" s="21" t="s">
        <v>666</v>
      </c>
      <c r="P18" s="21" t="s">
        <v>677</v>
      </c>
      <c r="Q18" s="18"/>
      <c r="R18" s="15"/>
      <c r="S18" s="15"/>
      <c r="T18" s="15"/>
      <c r="U18" s="15"/>
      <c r="V18" s="15"/>
    </row>
    <row r="19" spans="1:22" x14ac:dyDescent="0.25">
      <c r="A19">
        <v>4</v>
      </c>
      <c r="B19" s="1" t="s">
        <v>248</v>
      </c>
      <c r="C19" t="s">
        <v>980</v>
      </c>
      <c r="D19" s="2">
        <f>334795+6628+62130</f>
        <v>403553</v>
      </c>
      <c r="E19" s="2"/>
      <c r="F19" s="1">
        <v>11684</v>
      </c>
      <c r="G19" s="1"/>
      <c r="H19" s="1"/>
      <c r="I19" s="2">
        <f>10197+2999</f>
        <v>13196</v>
      </c>
      <c r="J19">
        <f t="shared" si="0"/>
        <v>428433</v>
      </c>
      <c r="K19" s="5">
        <f t="shared" si="1"/>
        <v>9.4377102160168209E-3</v>
      </c>
      <c r="L19" s="18" t="s">
        <v>1066</v>
      </c>
      <c r="M19" s="18" t="s">
        <v>538</v>
      </c>
      <c r="N19" s="18" t="s">
        <v>511</v>
      </c>
      <c r="O19" s="21" t="s">
        <v>668</v>
      </c>
      <c r="P19" s="21" t="s">
        <v>678</v>
      </c>
      <c r="Q19" s="18"/>
      <c r="R19" s="15"/>
      <c r="S19" s="15"/>
      <c r="T19" s="15"/>
      <c r="U19" s="15"/>
      <c r="V19" s="15"/>
    </row>
    <row r="20" spans="1:22" x14ac:dyDescent="0.25">
      <c r="A20">
        <v>5</v>
      </c>
      <c r="B20" s="1" t="s">
        <v>251</v>
      </c>
      <c r="C20" t="s">
        <v>966</v>
      </c>
      <c r="D20" s="2">
        <f>304524+58398</f>
        <v>362922</v>
      </c>
      <c r="E20" s="2"/>
      <c r="F20" s="2">
        <f>14611+13720+4017+2957</f>
        <v>35305</v>
      </c>
      <c r="G20" s="2"/>
      <c r="H20" s="1"/>
      <c r="I20" s="2">
        <v>10256</v>
      </c>
      <c r="J20">
        <f t="shared" si="0"/>
        <v>408483</v>
      </c>
      <c r="K20" s="5">
        <f t="shared" si="1"/>
        <v>8.998242857504439E-3</v>
      </c>
      <c r="L20" s="18" t="s">
        <v>1067</v>
      </c>
      <c r="M20" s="18" t="s">
        <v>539</v>
      </c>
      <c r="N20" s="18" t="s">
        <v>512</v>
      </c>
      <c r="O20" s="21" t="s">
        <v>669</v>
      </c>
      <c r="P20" s="21" t="s">
        <v>679</v>
      </c>
      <c r="Q20" s="18"/>
      <c r="R20" s="15"/>
      <c r="S20" s="15"/>
      <c r="T20" s="15"/>
      <c r="U20" s="15"/>
      <c r="V20" s="15"/>
    </row>
    <row r="21" spans="1:22" x14ac:dyDescent="0.25">
      <c r="A21">
        <v>6</v>
      </c>
      <c r="B21" s="1" t="s">
        <v>10</v>
      </c>
      <c r="C21" t="s">
        <v>987</v>
      </c>
      <c r="D21" s="2">
        <f>87045+24745</f>
        <v>111790</v>
      </c>
      <c r="E21" s="2"/>
      <c r="F21" s="2">
        <f>202333+38277+19572</f>
        <v>260182</v>
      </c>
      <c r="G21" s="2"/>
      <c r="H21" s="1"/>
      <c r="I21" s="2">
        <v>7048</v>
      </c>
      <c r="J21">
        <f t="shared" si="0"/>
        <v>379020</v>
      </c>
      <c r="K21" s="5">
        <f t="shared" si="1"/>
        <v>8.3492189585645717E-3</v>
      </c>
      <c r="L21" s="18" t="s">
        <v>1068</v>
      </c>
      <c r="M21" s="18" t="s">
        <v>540</v>
      </c>
      <c r="N21" s="18" t="s">
        <v>513</v>
      </c>
      <c r="O21" s="21" t="s">
        <v>670</v>
      </c>
      <c r="P21" s="21" t="s">
        <v>680</v>
      </c>
      <c r="Q21" s="18"/>
      <c r="R21" s="15"/>
      <c r="S21" s="15"/>
      <c r="T21" s="15"/>
      <c r="U21" s="15"/>
      <c r="V21" s="15"/>
    </row>
    <row r="22" spans="1:22" x14ac:dyDescent="0.25">
      <c r="A22">
        <v>7</v>
      </c>
      <c r="B22" s="1" t="s">
        <v>16</v>
      </c>
      <c r="C22" t="s">
        <v>988</v>
      </c>
      <c r="D22" s="2">
        <f>53485+5001</f>
        <v>58486</v>
      </c>
      <c r="E22" s="2"/>
      <c r="F22" s="2">
        <f>191283+35653+19307</f>
        <v>246243</v>
      </c>
      <c r="G22" s="2"/>
      <c r="H22" s="1"/>
      <c r="I22" s="2">
        <v>6780</v>
      </c>
      <c r="J22">
        <f t="shared" si="0"/>
        <v>311509</v>
      </c>
      <c r="K22" s="5">
        <f t="shared" si="1"/>
        <v>6.8620570116708652E-3</v>
      </c>
      <c r="L22" s="18" t="s">
        <v>1069</v>
      </c>
      <c r="M22" s="18" t="s">
        <v>541</v>
      </c>
      <c r="N22" s="18" t="s">
        <v>514</v>
      </c>
      <c r="O22" s="33" t="s">
        <v>671</v>
      </c>
      <c r="P22" s="21" t="s">
        <v>681</v>
      </c>
      <c r="Q22" s="18"/>
      <c r="R22" s="38"/>
      <c r="S22" s="38"/>
      <c r="T22" s="38"/>
      <c r="U22" s="38"/>
      <c r="V22" s="15"/>
    </row>
    <row r="23" spans="1:22" x14ac:dyDescent="0.25">
      <c r="A23">
        <v>8</v>
      </c>
      <c r="B23" s="1" t="s">
        <v>140</v>
      </c>
      <c r="C23" t="s">
        <v>964</v>
      </c>
      <c r="D23" s="2">
        <f>152963+86573</f>
        <v>239536</v>
      </c>
      <c r="E23">
        <v>2796</v>
      </c>
      <c r="F23" s="1">
        <f>34708+3206</f>
        <v>37914</v>
      </c>
      <c r="G23" s="2">
        <f>18202+5932</f>
        <v>24134</v>
      </c>
      <c r="I23" s="1"/>
      <c r="J23">
        <f t="shared" si="0"/>
        <v>304380</v>
      </c>
      <c r="K23" s="5">
        <f t="shared" si="1"/>
        <v>6.7050162698746359E-3</v>
      </c>
      <c r="L23" s="9" t="s">
        <v>1294</v>
      </c>
      <c r="M23" s="18" t="s">
        <v>542</v>
      </c>
      <c r="N23" s="18" t="s">
        <v>515</v>
      </c>
      <c r="O23" s="33" t="s">
        <v>672</v>
      </c>
      <c r="P23" s="21" t="s">
        <v>682</v>
      </c>
      <c r="Q23" s="18"/>
      <c r="R23" s="15"/>
      <c r="S23" s="15" t="s">
        <v>529</v>
      </c>
      <c r="T23" s="15" t="s">
        <v>191</v>
      </c>
      <c r="U23" s="15"/>
      <c r="V23" s="15"/>
    </row>
    <row r="24" spans="1:22" x14ac:dyDescent="0.25">
      <c r="A24">
        <v>9</v>
      </c>
      <c r="B24" s="1" t="s">
        <v>249</v>
      </c>
      <c r="C24" t="s">
        <v>959</v>
      </c>
      <c r="D24" s="2">
        <f>219144+47665</f>
        <v>266809</v>
      </c>
      <c r="E24" s="2"/>
      <c r="F24">
        <v>3710</v>
      </c>
      <c r="G24" s="1"/>
      <c r="H24" s="1">
        <v>6611</v>
      </c>
      <c r="I24" s="2">
        <v>6602</v>
      </c>
      <c r="J24">
        <f t="shared" si="0"/>
        <v>283732</v>
      </c>
      <c r="K24" s="5">
        <f t="shared" si="1"/>
        <v>6.250173060924076E-3</v>
      </c>
      <c r="L24" s="18" t="s">
        <v>1070</v>
      </c>
      <c r="M24" s="18" t="s">
        <v>543</v>
      </c>
      <c r="N24" s="18" t="s">
        <v>517</v>
      </c>
      <c r="O24" s="33" t="s">
        <v>673</v>
      </c>
      <c r="P24" s="21" t="s">
        <v>683</v>
      </c>
      <c r="Q24" s="18"/>
      <c r="R24" s="15"/>
      <c r="S24" s="15"/>
      <c r="T24" s="15"/>
      <c r="U24" s="15"/>
      <c r="V24" s="15"/>
    </row>
    <row r="25" spans="1:22" x14ac:dyDescent="0.25">
      <c r="A25">
        <v>10</v>
      </c>
      <c r="B25" s="1" t="s">
        <v>83</v>
      </c>
      <c r="C25" t="s">
        <v>379</v>
      </c>
      <c r="D25" s="2">
        <f>18209+2354</f>
        <v>20563</v>
      </c>
      <c r="E25" s="2"/>
      <c r="F25" s="2">
        <f>191283+35653+19037</f>
        <v>245973</v>
      </c>
      <c r="G25" s="2"/>
      <c r="I25" s="2">
        <v>6780</v>
      </c>
      <c r="J25">
        <f t="shared" si="0"/>
        <v>273316</v>
      </c>
      <c r="K25" s="5">
        <f t="shared" si="1"/>
        <v>6.0207248400586631E-3</v>
      </c>
      <c r="L25" s="18" t="s">
        <v>1071</v>
      </c>
      <c r="M25" s="21" t="s">
        <v>627</v>
      </c>
      <c r="N25" s="18" t="s">
        <v>518</v>
      </c>
      <c r="O25" s="21" t="s">
        <v>674</v>
      </c>
      <c r="P25" s="21" t="s">
        <v>684</v>
      </c>
      <c r="Q25" s="18"/>
      <c r="R25" s="38"/>
      <c r="S25" s="38"/>
      <c r="T25" s="38"/>
      <c r="U25" s="38"/>
      <c r="V25" s="15"/>
    </row>
    <row r="26" spans="1:22" x14ac:dyDescent="0.25">
      <c r="A26">
        <v>11</v>
      </c>
      <c r="B26" s="1" t="s">
        <v>250</v>
      </c>
      <c r="C26" t="s">
        <v>983</v>
      </c>
      <c r="D26" s="2">
        <f>185640+44181</f>
        <v>229821</v>
      </c>
      <c r="E26">
        <f>4912+3193</f>
        <v>8105</v>
      </c>
      <c r="F26" s="1"/>
      <c r="G26" s="1"/>
      <c r="H26" s="1"/>
      <c r="I26">
        <v>2688</v>
      </c>
      <c r="J26">
        <f t="shared" si="0"/>
        <v>240614</v>
      </c>
      <c r="K26" s="5">
        <f t="shared" si="1"/>
        <v>5.3003508271227268E-3</v>
      </c>
      <c r="L26" s="18" t="s">
        <v>1072</v>
      </c>
      <c r="M26" s="21" t="s">
        <v>628</v>
      </c>
      <c r="N26" s="18" t="s">
        <v>519</v>
      </c>
      <c r="O26" s="20"/>
      <c r="P26" s="21" t="s">
        <v>880</v>
      </c>
      <c r="Q26" s="18"/>
      <c r="R26" s="15"/>
      <c r="S26" s="15"/>
      <c r="T26" s="15"/>
      <c r="U26" s="15"/>
      <c r="V26" s="15"/>
    </row>
    <row r="27" spans="1:22" x14ac:dyDescent="0.25">
      <c r="A27">
        <v>12</v>
      </c>
      <c r="B27" s="1" t="s">
        <v>762</v>
      </c>
      <c r="C27" t="s">
        <v>971</v>
      </c>
      <c r="D27" s="2">
        <f>206052+2857</f>
        <v>208909</v>
      </c>
      <c r="E27" s="2"/>
      <c r="F27" s="1"/>
      <c r="G27" s="1"/>
      <c r="H27" s="1"/>
      <c r="I27" s="1"/>
      <c r="J27">
        <f t="shared" si="0"/>
        <v>208909</v>
      </c>
      <c r="K27" s="5">
        <f t="shared" si="1"/>
        <v>4.6019391678928977E-3</v>
      </c>
      <c r="L27" s="21" t="s">
        <v>1073</v>
      </c>
      <c r="M27" s="21" t="s">
        <v>629</v>
      </c>
      <c r="N27" s="18" t="s">
        <v>520</v>
      </c>
      <c r="O27" s="18"/>
      <c r="P27" s="21" t="s">
        <v>881</v>
      </c>
      <c r="Q27" s="18"/>
      <c r="R27" s="38"/>
      <c r="S27" s="38"/>
      <c r="T27" s="38"/>
      <c r="U27" s="38"/>
      <c r="V27" s="15"/>
    </row>
    <row r="28" spans="1:22" x14ac:dyDescent="0.25">
      <c r="A28">
        <v>13</v>
      </c>
      <c r="B28" s="1" t="s">
        <v>247</v>
      </c>
      <c r="C28" t="s">
        <v>977</v>
      </c>
      <c r="D28" s="2">
        <f>145999+40682+14143</f>
        <v>200824</v>
      </c>
      <c r="E28" s="2"/>
      <c r="F28" s="1"/>
      <c r="G28" s="1"/>
      <c r="H28" s="1"/>
      <c r="I28" s="1">
        <v>4206</v>
      </c>
      <c r="J28">
        <f t="shared" si="0"/>
        <v>205030</v>
      </c>
      <c r="K28" s="5">
        <f t="shared" si="1"/>
        <v>4.5164908529219941E-3</v>
      </c>
      <c r="L28" s="18" t="s">
        <v>1074</v>
      </c>
      <c r="M28" s="21" t="s">
        <v>630</v>
      </c>
      <c r="N28" s="18" t="s">
        <v>521</v>
      </c>
      <c r="O28" s="20"/>
      <c r="P28" s="21" t="s">
        <v>882</v>
      </c>
      <c r="Q28" s="18"/>
      <c r="R28" s="17"/>
      <c r="S28" s="15"/>
      <c r="T28" s="15"/>
      <c r="U28" s="15"/>
      <c r="V28" s="15"/>
    </row>
    <row r="29" spans="1:22" x14ac:dyDescent="0.25">
      <c r="A29">
        <v>14</v>
      </c>
      <c r="B29" s="1" t="s">
        <v>143</v>
      </c>
      <c r="C29" t="s">
        <v>939</v>
      </c>
      <c r="D29" s="2">
        <f>147335+30749</f>
        <v>178084</v>
      </c>
      <c r="E29" s="2">
        <f>8631+11998</f>
        <v>20629</v>
      </c>
      <c r="F29" s="1"/>
      <c r="G29" s="1"/>
      <c r="H29" s="1"/>
      <c r="I29" s="1"/>
      <c r="J29">
        <f t="shared" si="0"/>
        <v>198713</v>
      </c>
      <c r="K29" s="5">
        <f t="shared" si="1"/>
        <v>4.3773372036125845E-3</v>
      </c>
      <c r="L29" s="18" t="s">
        <v>1075</v>
      </c>
      <c r="M29" s="37" t="s">
        <v>631</v>
      </c>
      <c r="N29" s="18" t="s">
        <v>522</v>
      </c>
      <c r="O29" s="20"/>
      <c r="P29" s="21" t="s">
        <v>883</v>
      </c>
      <c r="Q29" s="18"/>
      <c r="R29" s="15"/>
      <c r="S29" s="15"/>
      <c r="T29" s="15"/>
      <c r="U29" s="15"/>
      <c r="V29" s="15"/>
    </row>
    <row r="30" spans="1:22" x14ac:dyDescent="0.25">
      <c r="A30">
        <v>15</v>
      </c>
      <c r="B30" s="1" t="s">
        <v>146</v>
      </c>
      <c r="C30" t="s">
        <v>981</v>
      </c>
      <c r="D30" s="2">
        <f>137598+25622+13867</f>
        <v>177087</v>
      </c>
      <c r="E30" s="2"/>
      <c r="F30" s="1"/>
      <c r="G30" s="1"/>
      <c r="H30" s="1"/>
      <c r="I30">
        <v>2850</v>
      </c>
      <c r="J30">
        <f t="shared" si="0"/>
        <v>179937</v>
      </c>
      <c r="K30" s="5">
        <f t="shared" si="1"/>
        <v>3.963731232513412E-3</v>
      </c>
      <c r="L30" s="18" t="s">
        <v>1076</v>
      </c>
      <c r="M30" s="21" t="s">
        <v>632</v>
      </c>
      <c r="N30" s="21" t="s">
        <v>523</v>
      </c>
      <c r="O30" s="18"/>
      <c r="P30" s="21" t="s">
        <v>884</v>
      </c>
      <c r="Q30" s="18"/>
      <c r="R30" s="15"/>
      <c r="S30" s="15"/>
      <c r="T30" s="15"/>
      <c r="U30" s="15"/>
      <c r="V30" s="15"/>
    </row>
    <row r="31" spans="1:22" x14ac:dyDescent="0.25">
      <c r="A31">
        <v>16</v>
      </c>
      <c r="B31" s="1" t="s">
        <v>17</v>
      </c>
      <c r="C31" t="s">
        <v>989</v>
      </c>
      <c r="D31" s="2">
        <f>49864+7381</f>
        <v>57245</v>
      </c>
      <c r="E31" s="2"/>
      <c r="F31" s="2">
        <f>93130+14611+3600+4017</f>
        <v>115358</v>
      </c>
      <c r="G31" s="2"/>
      <c r="H31" s="1"/>
      <c r="I31" s="1"/>
      <c r="J31">
        <f t="shared" si="0"/>
        <v>172603</v>
      </c>
      <c r="K31" s="5">
        <f t="shared" si="1"/>
        <v>3.8021746607174315E-3</v>
      </c>
      <c r="L31" s="18" t="s">
        <v>1077</v>
      </c>
      <c r="M31" s="21" t="s">
        <v>634</v>
      </c>
      <c r="N31" s="18" t="s">
        <v>525</v>
      </c>
      <c r="O31" s="18"/>
      <c r="P31" s="21" t="s">
        <v>887</v>
      </c>
      <c r="Q31" s="18"/>
      <c r="R31" s="38"/>
      <c r="S31" s="38"/>
      <c r="T31" s="38"/>
      <c r="U31" s="38"/>
      <c r="V31" s="15"/>
    </row>
    <row r="32" spans="1:22" x14ac:dyDescent="0.25">
      <c r="A32">
        <v>17</v>
      </c>
      <c r="B32" s="1" t="s">
        <v>110</v>
      </c>
      <c r="C32" t="s">
        <v>620</v>
      </c>
      <c r="D32" s="2">
        <f>8796+871</f>
        <v>9667</v>
      </c>
      <c r="E32" s="2"/>
      <c r="F32">
        <f>112637+11684+12451+11684</f>
        <v>148456</v>
      </c>
      <c r="H32" s="2">
        <v>8742</v>
      </c>
      <c r="I32">
        <v>5075</v>
      </c>
      <c r="J32">
        <f t="shared" si="0"/>
        <v>171940</v>
      </c>
      <c r="K32" s="5">
        <f t="shared" si="1"/>
        <v>3.7875698056450652E-3</v>
      </c>
      <c r="L32" s="21" t="s">
        <v>1078</v>
      </c>
      <c r="M32" s="21" t="s">
        <v>607</v>
      </c>
      <c r="N32" s="20" t="s">
        <v>610</v>
      </c>
      <c r="O32" s="18"/>
      <c r="P32" s="21" t="s">
        <v>885</v>
      </c>
      <c r="Q32" s="18"/>
      <c r="R32" s="15"/>
      <c r="S32" s="15"/>
      <c r="T32" s="15"/>
      <c r="U32" s="15"/>
      <c r="V32" s="15"/>
    </row>
    <row r="33" spans="1:22" x14ac:dyDescent="0.25">
      <c r="A33">
        <v>18</v>
      </c>
      <c r="B33" s="1" t="s">
        <v>144</v>
      </c>
      <c r="C33" t="s">
        <v>376</v>
      </c>
      <c r="D33" s="2">
        <f>113789+29544+22520</f>
        <v>165853</v>
      </c>
      <c r="E33" s="2"/>
      <c r="F33" s="1"/>
      <c r="G33" s="1"/>
      <c r="H33" s="1"/>
      <c r="I33" s="1"/>
      <c r="J33">
        <f t="shared" si="0"/>
        <v>165853</v>
      </c>
      <c r="K33" s="5">
        <f t="shared" si="1"/>
        <v>3.6534826973109863E-3</v>
      </c>
      <c r="L33" s="18" t="s">
        <v>1079</v>
      </c>
      <c r="M33" s="21" t="s">
        <v>633</v>
      </c>
      <c r="N33" s="18" t="s">
        <v>524</v>
      </c>
      <c r="O33" s="20"/>
      <c r="P33" s="21" t="s">
        <v>886</v>
      </c>
      <c r="Q33" s="18"/>
      <c r="R33" s="15"/>
      <c r="S33" s="15"/>
      <c r="T33" s="15"/>
      <c r="U33" s="15"/>
      <c r="V33" s="15"/>
    </row>
    <row r="34" spans="1:22" x14ac:dyDescent="0.25">
      <c r="A34">
        <v>19</v>
      </c>
      <c r="B34" s="1" t="s">
        <v>8</v>
      </c>
      <c r="C34" t="s">
        <v>970</v>
      </c>
      <c r="D34" s="2">
        <f>109810+29957</f>
        <v>139767</v>
      </c>
      <c r="E34">
        <v>4131</v>
      </c>
      <c r="F34">
        <v>3151</v>
      </c>
      <c r="G34" s="1"/>
      <c r="H34" s="1"/>
      <c r="I34" s="1"/>
      <c r="J34">
        <f t="shared" si="0"/>
        <v>147049</v>
      </c>
      <c r="K34" s="5">
        <f t="shared" si="1"/>
        <v>3.2392599299191647E-3</v>
      </c>
      <c r="L34" s="18" t="s">
        <v>1080</v>
      </c>
      <c r="M34" s="21" t="s">
        <v>635</v>
      </c>
      <c r="N34" s="18" t="s">
        <v>526</v>
      </c>
      <c r="O34" s="18"/>
      <c r="P34" s="21" t="s">
        <v>888</v>
      </c>
      <c r="Q34" s="18"/>
      <c r="R34" s="38"/>
      <c r="S34" s="38"/>
      <c r="T34" s="38"/>
      <c r="U34" s="38"/>
      <c r="V34" s="15"/>
    </row>
    <row r="35" spans="1:22" x14ac:dyDescent="0.25">
      <c r="A35">
        <v>20</v>
      </c>
      <c r="B35" s="1" t="s">
        <v>145</v>
      </c>
      <c r="C35" t="s">
        <v>377</v>
      </c>
      <c r="D35" s="2">
        <f>98570+26374</f>
        <v>124944</v>
      </c>
      <c r="E35" s="2"/>
      <c r="F35" s="1"/>
      <c r="G35" s="1"/>
      <c r="H35" s="1"/>
      <c r="I35" s="1"/>
      <c r="J35">
        <f t="shared" si="0"/>
        <v>124944</v>
      </c>
      <c r="K35" s="5">
        <f t="shared" si="1"/>
        <v>2.7523212853118356E-3</v>
      </c>
      <c r="L35" s="18" t="s">
        <v>1081</v>
      </c>
      <c r="M35" s="21" t="s">
        <v>636</v>
      </c>
      <c r="N35" s="18" t="s">
        <v>527</v>
      </c>
      <c r="O35" s="18"/>
      <c r="P35" s="21" t="s">
        <v>889</v>
      </c>
      <c r="Q35" s="18"/>
      <c r="R35" s="15"/>
      <c r="S35" s="15"/>
      <c r="T35" s="15"/>
      <c r="U35" s="15"/>
      <c r="V35" s="15"/>
    </row>
    <row r="36" spans="1:22" x14ac:dyDescent="0.25">
      <c r="A36">
        <v>21</v>
      </c>
      <c r="B36" s="1" t="s">
        <v>9</v>
      </c>
      <c r="C36" t="s">
        <v>940</v>
      </c>
      <c r="D36" s="2">
        <f>97209+17962</f>
        <v>115171</v>
      </c>
      <c r="E36">
        <v>6637</v>
      </c>
      <c r="F36" s="1"/>
      <c r="G36" s="1"/>
      <c r="H36" s="1"/>
      <c r="I36" s="1"/>
      <c r="J36">
        <f t="shared" si="0"/>
        <v>121808</v>
      </c>
      <c r="K36" s="5">
        <f t="shared" si="1"/>
        <v>2.6832401005351522E-3</v>
      </c>
      <c r="L36" s="18" t="s">
        <v>1082</v>
      </c>
      <c r="M36" s="21" t="s">
        <v>637</v>
      </c>
      <c r="N36" s="20" t="s">
        <v>528</v>
      </c>
      <c r="O36" s="18"/>
      <c r="P36" s="21" t="s">
        <v>890</v>
      </c>
      <c r="Q36" s="18"/>
      <c r="R36" s="15"/>
      <c r="S36" s="15"/>
      <c r="T36" s="15"/>
      <c r="U36" s="15"/>
      <c r="V36" s="15"/>
    </row>
    <row r="37" spans="1:22" x14ac:dyDescent="0.25">
      <c r="A37">
        <v>22</v>
      </c>
      <c r="B37" s="1" t="s">
        <v>254</v>
      </c>
      <c r="C37" t="s">
        <v>945</v>
      </c>
      <c r="D37" s="2">
        <f>82333+18744</f>
        <v>101077</v>
      </c>
      <c r="E37" s="2">
        <f>3696+2966</f>
        <v>6662</v>
      </c>
      <c r="F37" s="1"/>
      <c r="G37" s="1"/>
      <c r="H37" s="1"/>
      <c r="I37" s="1"/>
      <c r="J37">
        <f t="shared" si="0"/>
        <v>107739</v>
      </c>
      <c r="K37" s="5">
        <f t="shared" si="1"/>
        <v>2.373321991918074E-3</v>
      </c>
      <c r="L37" s="18" t="s">
        <v>1083</v>
      </c>
      <c r="M37" s="21" t="s">
        <v>638</v>
      </c>
      <c r="N37" s="18" t="s">
        <v>530</v>
      </c>
      <c r="O37" s="18"/>
      <c r="P37" s="33" t="s">
        <v>891</v>
      </c>
      <c r="Q37" s="20"/>
      <c r="R37" s="15"/>
      <c r="S37" s="15"/>
      <c r="T37" s="15"/>
      <c r="U37" s="15"/>
      <c r="V37" s="15"/>
    </row>
    <row r="38" spans="1:22" x14ac:dyDescent="0.25">
      <c r="A38">
        <v>23</v>
      </c>
      <c r="B38" s="1" t="s">
        <v>258</v>
      </c>
      <c r="C38" t="s">
        <v>979</v>
      </c>
      <c r="D38" s="2">
        <f>72058+8585+7184</f>
        <v>87827</v>
      </c>
      <c r="E38" s="2"/>
      <c r="F38" s="1"/>
      <c r="G38" s="1"/>
      <c r="H38" s="1"/>
      <c r="I38">
        <v>3106</v>
      </c>
      <c r="J38">
        <f t="shared" si="0"/>
        <v>90933</v>
      </c>
      <c r="K38" s="5">
        <f t="shared" si="1"/>
        <v>2.0031120456945601E-3</v>
      </c>
      <c r="L38" s="18" t="s">
        <v>1084</v>
      </c>
      <c r="M38" s="21" t="s">
        <v>639</v>
      </c>
      <c r="N38" s="20" t="s">
        <v>531</v>
      </c>
      <c r="O38" s="18"/>
      <c r="P38" s="21" t="s">
        <v>892</v>
      </c>
      <c r="Q38" s="18"/>
      <c r="R38" s="15"/>
      <c r="S38" s="15"/>
      <c r="T38" s="15"/>
      <c r="U38" s="15"/>
      <c r="V38" s="15"/>
    </row>
    <row r="39" spans="1:22" x14ac:dyDescent="0.25">
      <c r="A39">
        <v>24</v>
      </c>
      <c r="B39" s="1" t="s">
        <v>763</v>
      </c>
      <c r="C39" t="s">
        <v>962</v>
      </c>
      <c r="D39" s="2">
        <f>65667+13394</f>
        <v>79061</v>
      </c>
      <c r="E39">
        <v>7173</v>
      </c>
      <c r="F39">
        <v>3241</v>
      </c>
      <c r="G39" s="1"/>
      <c r="H39" s="1"/>
      <c r="I39" s="1"/>
      <c r="J39">
        <f t="shared" si="0"/>
        <v>89475</v>
      </c>
      <c r="K39" s="5">
        <f t="shared" si="1"/>
        <v>1.9709945815987681E-3</v>
      </c>
      <c r="L39" s="21" t="s">
        <v>1085</v>
      </c>
      <c r="M39" s="21" t="s">
        <v>642</v>
      </c>
      <c r="N39" s="18" t="s">
        <v>583</v>
      </c>
      <c r="O39" s="18"/>
      <c r="P39" s="21" t="s">
        <v>896</v>
      </c>
      <c r="Q39" s="18"/>
      <c r="R39" s="15"/>
      <c r="S39" s="15"/>
      <c r="T39" s="15"/>
      <c r="U39" s="15"/>
      <c r="V39" s="15"/>
    </row>
    <row r="40" spans="1:22" x14ac:dyDescent="0.25">
      <c r="A40">
        <v>25</v>
      </c>
      <c r="B40" s="1" t="s">
        <v>148</v>
      </c>
      <c r="C40" t="s">
        <v>949</v>
      </c>
      <c r="D40" s="2">
        <f>63055+22678</f>
        <v>85733</v>
      </c>
      <c r="E40" s="2"/>
      <c r="F40" s="1"/>
      <c r="G40">
        <v>3415</v>
      </c>
      <c r="H40" s="1"/>
      <c r="I40" s="1"/>
      <c r="J40">
        <f t="shared" si="0"/>
        <v>89148</v>
      </c>
      <c r="K40" s="5">
        <f t="shared" si="1"/>
        <v>1.9637912820381891E-3</v>
      </c>
      <c r="L40" s="18" t="s">
        <v>1086</v>
      </c>
      <c r="M40" s="21" t="s">
        <v>640</v>
      </c>
      <c r="N40" s="21" t="s">
        <v>532</v>
      </c>
      <c r="O40" s="18"/>
      <c r="P40" s="21" t="s">
        <v>893</v>
      </c>
      <c r="Q40" s="18"/>
      <c r="R40" s="15"/>
      <c r="S40" s="15"/>
      <c r="T40" s="15"/>
      <c r="U40" s="15"/>
      <c r="V40" s="15"/>
    </row>
    <row r="41" spans="1:22" x14ac:dyDescent="0.25">
      <c r="A41">
        <v>26</v>
      </c>
      <c r="B41" s="1" t="s">
        <v>257</v>
      </c>
      <c r="C41" t="s">
        <v>982</v>
      </c>
      <c r="D41" s="2">
        <f>62168+11010+7775</f>
        <v>80953</v>
      </c>
      <c r="E41" s="2"/>
      <c r="F41" s="1"/>
      <c r="G41" s="1"/>
      <c r="H41" s="1"/>
      <c r="I41">
        <v>2743</v>
      </c>
      <c r="J41">
        <f t="shared" si="0"/>
        <v>83696</v>
      </c>
      <c r="K41" s="5">
        <f t="shared" si="1"/>
        <v>1.8436922324838278E-3</v>
      </c>
      <c r="L41" s="18" t="s">
        <v>1087</v>
      </c>
      <c r="M41" s="21" t="s">
        <v>641</v>
      </c>
      <c r="N41" s="18" t="s">
        <v>533</v>
      </c>
      <c r="O41" s="18"/>
      <c r="P41" s="21" t="s">
        <v>894</v>
      </c>
      <c r="Q41" s="18"/>
      <c r="R41" s="15"/>
      <c r="S41" s="15"/>
      <c r="T41" s="15"/>
      <c r="U41" s="15"/>
      <c r="V41" s="15"/>
    </row>
    <row r="42" spans="1:22" x14ac:dyDescent="0.25">
      <c r="A42">
        <v>27</v>
      </c>
      <c r="B42" s="1" t="s">
        <v>13</v>
      </c>
      <c r="C42" t="s">
        <v>975</v>
      </c>
      <c r="D42" s="2">
        <f>63225+9901</f>
        <v>73126</v>
      </c>
      <c r="E42">
        <f>6620+2399</f>
        <v>9019</v>
      </c>
      <c r="F42" s="1"/>
      <c r="G42" s="1"/>
      <c r="H42" s="1"/>
      <c r="I42" s="1"/>
      <c r="J42">
        <f t="shared" si="0"/>
        <v>82145</v>
      </c>
      <c r="K42" s="5">
        <f t="shared" si="1"/>
        <v>1.8095261235588802E-3</v>
      </c>
      <c r="L42" s="21" t="s">
        <v>1088</v>
      </c>
      <c r="M42" s="21" t="s">
        <v>648</v>
      </c>
      <c r="N42" s="20" t="s">
        <v>590</v>
      </c>
      <c r="O42" s="18"/>
      <c r="P42" s="21" t="s">
        <v>916</v>
      </c>
      <c r="Q42" s="18"/>
      <c r="R42" s="15"/>
      <c r="S42" s="15"/>
      <c r="T42" s="15"/>
      <c r="U42" s="15"/>
      <c r="V42" s="15"/>
    </row>
    <row r="43" spans="1:22" x14ac:dyDescent="0.25">
      <c r="A43">
        <v>28</v>
      </c>
      <c r="B43" s="1" t="s">
        <v>12</v>
      </c>
      <c r="C43" t="s">
        <v>821</v>
      </c>
      <c r="D43" s="2">
        <f>65547+9179+6225</f>
        <v>80951</v>
      </c>
      <c r="E43" s="2"/>
      <c r="F43" s="1"/>
      <c r="G43" s="1"/>
      <c r="H43" s="1"/>
      <c r="I43" s="1"/>
      <c r="J43">
        <f t="shared" si="0"/>
        <v>80951</v>
      </c>
      <c r="K43" s="5">
        <f t="shared" si="1"/>
        <v>1.7832241673652069E-3</v>
      </c>
      <c r="L43" s="18" t="s">
        <v>1089</v>
      </c>
      <c r="M43" s="21" t="s">
        <v>645</v>
      </c>
      <c r="N43" s="18" t="s">
        <v>587</v>
      </c>
      <c r="O43" s="18"/>
      <c r="P43" s="21" t="s">
        <v>895</v>
      </c>
      <c r="Q43" s="18"/>
      <c r="R43" s="38"/>
      <c r="S43" s="38"/>
      <c r="T43" s="38"/>
      <c r="U43" s="38"/>
      <c r="V43" s="15"/>
    </row>
    <row r="44" spans="1:22" x14ac:dyDescent="0.25">
      <c r="A44">
        <v>29</v>
      </c>
      <c r="B44" s="1" t="s">
        <v>15</v>
      </c>
      <c r="C44" t="s">
        <v>382</v>
      </c>
      <c r="D44" s="2">
        <f>55705+11843+7271</f>
        <v>74819</v>
      </c>
      <c r="E44" s="2"/>
      <c r="F44" s="1"/>
      <c r="G44" s="1"/>
      <c r="H44" s="1"/>
      <c r="I44" s="1"/>
      <c r="J44">
        <f t="shared" si="0"/>
        <v>74819</v>
      </c>
      <c r="K44" s="5">
        <f t="shared" si="1"/>
        <v>1.6481457792750849E-3</v>
      </c>
      <c r="L44" s="18" t="s">
        <v>1090</v>
      </c>
      <c r="M44" s="21" t="s">
        <v>643</v>
      </c>
      <c r="N44" s="18" t="s">
        <v>584</v>
      </c>
      <c r="O44" s="18"/>
      <c r="P44" s="21" t="s">
        <v>897</v>
      </c>
      <c r="Q44" s="18"/>
      <c r="R44" s="15"/>
      <c r="S44" s="15"/>
      <c r="T44" s="15"/>
      <c r="U44" s="15"/>
      <c r="V44" s="15"/>
    </row>
    <row r="45" spans="1:22" x14ac:dyDescent="0.25">
      <c r="A45">
        <v>30</v>
      </c>
      <c r="B45" s="1" t="s">
        <v>255</v>
      </c>
      <c r="C45" t="s">
        <v>381</v>
      </c>
      <c r="D45" s="2">
        <f>52251+14370+8147</f>
        <v>74768</v>
      </c>
      <c r="E45" s="2"/>
      <c r="F45" s="1"/>
      <c r="G45" s="1"/>
      <c r="H45" s="1"/>
      <c r="I45" s="1"/>
      <c r="J45">
        <f t="shared" si="0"/>
        <v>74768</v>
      </c>
      <c r="K45" s="5">
        <f t="shared" si="1"/>
        <v>1.647022328884903E-3</v>
      </c>
      <c r="L45" s="18" t="s">
        <v>1091</v>
      </c>
      <c r="M45" s="21" t="s">
        <v>644</v>
      </c>
      <c r="N45" s="21" t="s">
        <v>586</v>
      </c>
      <c r="O45" s="18"/>
      <c r="P45" s="21" t="s">
        <v>898</v>
      </c>
      <c r="Q45" s="18"/>
      <c r="R45" s="38"/>
      <c r="S45" s="38"/>
      <c r="T45" s="38"/>
      <c r="U45" s="38"/>
      <c r="V45" s="15"/>
    </row>
    <row r="46" spans="1:22" x14ac:dyDescent="0.25">
      <c r="A46">
        <v>31</v>
      </c>
      <c r="B46" s="1" t="s">
        <v>14</v>
      </c>
      <c r="C46" t="s">
        <v>380</v>
      </c>
      <c r="D46" s="2">
        <f>58514+6995+8377</f>
        <v>73886</v>
      </c>
      <c r="E46" s="2"/>
      <c r="F46" s="1"/>
      <c r="G46" s="1"/>
      <c r="H46" s="1"/>
      <c r="I46" s="1"/>
      <c r="J46">
        <f t="shared" si="0"/>
        <v>73886</v>
      </c>
      <c r="K46" s="5">
        <f t="shared" si="1"/>
        <v>1.6275932456664608E-3</v>
      </c>
      <c r="L46" s="18" t="s">
        <v>1092</v>
      </c>
      <c r="M46" s="21" t="s">
        <v>646</v>
      </c>
      <c r="N46" s="21" t="s">
        <v>588</v>
      </c>
      <c r="O46" s="18"/>
      <c r="P46" s="21" t="s">
        <v>914</v>
      </c>
      <c r="Q46" s="18"/>
      <c r="R46" s="15"/>
      <c r="S46" s="15"/>
      <c r="T46" s="15"/>
      <c r="U46" s="15"/>
      <c r="V46" s="15"/>
    </row>
    <row r="47" spans="1:22" x14ac:dyDescent="0.25">
      <c r="A47">
        <v>32</v>
      </c>
      <c r="B47" s="1" t="s">
        <v>149</v>
      </c>
      <c r="C47" t="s">
        <v>378</v>
      </c>
      <c r="D47" s="2">
        <f>52474+20692</f>
        <v>73166</v>
      </c>
      <c r="E47" s="2"/>
      <c r="F47" s="1"/>
      <c r="G47" s="1"/>
      <c r="H47" s="1"/>
      <c r="I47" s="1"/>
      <c r="J47">
        <f t="shared" si="0"/>
        <v>73166</v>
      </c>
      <c r="K47" s="5">
        <f t="shared" si="1"/>
        <v>1.6117327695697734E-3</v>
      </c>
      <c r="L47" s="18" t="s">
        <v>1093</v>
      </c>
      <c r="M47" s="21" t="s">
        <v>647</v>
      </c>
      <c r="N47" s="18" t="s">
        <v>589</v>
      </c>
      <c r="O47" s="20"/>
      <c r="P47" s="21" t="s">
        <v>915</v>
      </c>
      <c r="Q47" s="18"/>
      <c r="R47" s="38"/>
      <c r="S47" s="38"/>
      <c r="T47" s="38"/>
      <c r="U47" s="38"/>
      <c r="V47" s="15"/>
    </row>
    <row r="48" spans="1:22" x14ac:dyDescent="0.25">
      <c r="A48">
        <v>33</v>
      </c>
      <c r="B48" s="1" t="s">
        <v>765</v>
      </c>
      <c r="C48" t="s">
        <v>941</v>
      </c>
      <c r="D48" s="2">
        <f>55962+10006</f>
        <v>65968</v>
      </c>
      <c r="E48">
        <v>6147</v>
      </c>
      <c r="F48" s="1"/>
      <c r="G48" s="1"/>
      <c r="H48" s="1"/>
      <c r="I48" s="1"/>
      <c r="J48">
        <f t="shared" si="0"/>
        <v>72115</v>
      </c>
      <c r="K48" s="5">
        <f t="shared" si="1"/>
        <v>1.5885808801564144E-3</v>
      </c>
      <c r="L48" s="21" t="s">
        <v>1094</v>
      </c>
      <c r="M48" s="21" t="s">
        <v>650</v>
      </c>
      <c r="N48" s="18" t="s">
        <v>591</v>
      </c>
      <c r="O48" s="18"/>
      <c r="P48" s="21" t="s">
        <v>918</v>
      </c>
      <c r="Q48" s="18"/>
      <c r="R48" s="15"/>
      <c r="S48" s="15"/>
      <c r="T48" s="15"/>
      <c r="U48" s="15"/>
      <c r="V48" s="15"/>
    </row>
    <row r="49" spans="1:22" x14ac:dyDescent="0.25">
      <c r="A49">
        <v>34</v>
      </c>
      <c r="B49" s="1" t="s">
        <v>252</v>
      </c>
      <c r="C49" t="s">
        <v>368</v>
      </c>
      <c r="D49" s="2">
        <f>57207+13843</f>
        <v>71050</v>
      </c>
      <c r="E49" s="2"/>
      <c r="F49" s="1"/>
      <c r="G49" s="1"/>
      <c r="H49" s="1"/>
      <c r="I49" s="1"/>
      <c r="J49">
        <f t="shared" si="0"/>
        <v>71050</v>
      </c>
      <c r="K49" s="5">
        <f t="shared" si="1"/>
        <v>1.5651205925967307E-3</v>
      </c>
      <c r="L49" s="18" t="s">
        <v>1095</v>
      </c>
      <c r="M49" s="21" t="s">
        <v>649</v>
      </c>
      <c r="N49" s="18" t="s">
        <v>462</v>
      </c>
      <c r="O49" s="18"/>
      <c r="P49" s="21" t="s">
        <v>917</v>
      </c>
      <c r="Q49" s="18"/>
      <c r="R49" s="38"/>
      <c r="S49" s="38"/>
      <c r="T49" s="38"/>
      <c r="U49" s="38"/>
      <c r="V49" s="15"/>
    </row>
    <row r="50" spans="1:22" x14ac:dyDescent="0.25">
      <c r="A50">
        <v>35</v>
      </c>
      <c r="B50" s="1" t="s">
        <v>18</v>
      </c>
      <c r="C50" t="s">
        <v>820</v>
      </c>
      <c r="D50" s="2">
        <f>45853+9709+6955</f>
        <v>62517</v>
      </c>
      <c r="E50" s="2"/>
      <c r="F50" s="1"/>
      <c r="G50" s="1"/>
      <c r="H50" s="1"/>
      <c r="I50" s="1"/>
      <c r="J50">
        <f t="shared" si="0"/>
        <v>62517</v>
      </c>
      <c r="K50" s="5">
        <f t="shared" si="1"/>
        <v>1.3771519224119607E-3</v>
      </c>
      <c r="L50" s="18" t="s">
        <v>1096</v>
      </c>
      <c r="M50" s="21" t="s">
        <v>653</v>
      </c>
      <c r="N50" s="18" t="s">
        <v>594</v>
      </c>
      <c r="O50" s="18"/>
      <c r="P50" s="21" t="s">
        <v>919</v>
      </c>
      <c r="Q50" s="18"/>
      <c r="R50" s="15"/>
      <c r="S50" s="15"/>
      <c r="T50" s="15"/>
      <c r="U50" s="15"/>
      <c r="V50" s="15"/>
    </row>
    <row r="51" spans="1:22" x14ac:dyDescent="0.25">
      <c r="A51">
        <v>36</v>
      </c>
      <c r="B51" s="1" t="s">
        <v>259</v>
      </c>
      <c r="C51" t="s">
        <v>369</v>
      </c>
      <c r="D51" s="2">
        <f>48211+11333</f>
        <v>59544</v>
      </c>
      <c r="E51" s="2"/>
      <c r="F51" s="1"/>
      <c r="G51" s="1"/>
      <c r="H51" s="1"/>
      <c r="I51" s="1"/>
      <c r="J51">
        <f t="shared" si="0"/>
        <v>59544</v>
      </c>
      <c r="K51" s="5">
        <f t="shared" si="1"/>
        <v>1.3116613731960554E-3</v>
      </c>
      <c r="L51" s="18" t="s">
        <v>1097</v>
      </c>
      <c r="M51" s="21" t="s">
        <v>651</v>
      </c>
      <c r="N51" s="18" t="s">
        <v>592</v>
      </c>
      <c r="O51" s="18"/>
      <c r="P51" s="21" t="s">
        <v>920</v>
      </c>
      <c r="Q51" s="18"/>
      <c r="R51" s="15"/>
      <c r="S51" s="15"/>
      <c r="T51" s="15"/>
      <c r="U51" s="15"/>
      <c r="V51" s="15"/>
    </row>
    <row r="52" spans="1:22" x14ac:dyDescent="0.25">
      <c r="A52">
        <v>37</v>
      </c>
      <c r="B52" s="1" t="s">
        <v>253</v>
      </c>
      <c r="C52" t="s">
        <v>1012</v>
      </c>
      <c r="D52" s="2">
        <f>27387+15734+7806</f>
        <v>50927</v>
      </c>
      <c r="E52">
        <f>4589</f>
        <v>4589</v>
      </c>
      <c r="F52" s="1">
        <v>3878</v>
      </c>
      <c r="G52" s="1"/>
      <c r="H52" s="1"/>
      <c r="I52" s="1"/>
      <c r="J52">
        <f t="shared" si="0"/>
        <v>59394</v>
      </c>
      <c r="K52" s="5">
        <f t="shared" si="1"/>
        <v>1.3083571073425788E-3</v>
      </c>
      <c r="L52" s="21" t="s">
        <v>1098</v>
      </c>
      <c r="M52" s="21" t="s">
        <v>660</v>
      </c>
      <c r="N52" s="21" t="s">
        <v>601</v>
      </c>
      <c r="O52" s="18"/>
      <c r="P52" s="21" t="s">
        <v>930</v>
      </c>
      <c r="Q52" s="18"/>
      <c r="R52" s="38"/>
      <c r="S52" s="38"/>
      <c r="T52" s="38"/>
      <c r="U52" s="38"/>
      <c r="V52" s="15"/>
    </row>
    <row r="53" spans="1:22" x14ac:dyDescent="0.25">
      <c r="A53">
        <v>38</v>
      </c>
      <c r="B53" s="1" t="s">
        <v>19</v>
      </c>
      <c r="C53" t="s">
        <v>942</v>
      </c>
      <c r="D53" s="2">
        <f>43413+8721</f>
        <v>52134</v>
      </c>
      <c r="E53">
        <v>5812</v>
      </c>
      <c r="F53" s="1"/>
      <c r="G53" s="1"/>
      <c r="H53" s="1"/>
      <c r="I53" s="1"/>
      <c r="J53">
        <f t="shared" si="0"/>
        <v>57946</v>
      </c>
      <c r="K53" s="5">
        <f t="shared" si="1"/>
        <v>1.2764599276370184E-3</v>
      </c>
      <c r="L53" s="18" t="s">
        <v>1099</v>
      </c>
      <c r="M53" s="21" t="s">
        <v>654</v>
      </c>
      <c r="N53" s="18" t="s">
        <v>595</v>
      </c>
      <c r="O53" s="18"/>
      <c r="P53" s="21" t="s">
        <v>922</v>
      </c>
      <c r="Q53" s="18"/>
      <c r="R53" s="15"/>
      <c r="S53" s="15"/>
      <c r="T53" s="15"/>
      <c r="U53" s="15"/>
      <c r="V53" s="15"/>
    </row>
    <row r="54" spans="1:22" x14ac:dyDescent="0.25">
      <c r="A54">
        <v>39</v>
      </c>
      <c r="B54" s="1" t="s">
        <v>20</v>
      </c>
      <c r="C54" t="s">
        <v>961</v>
      </c>
      <c r="D54" s="2">
        <f>42846+7305</f>
        <v>50151</v>
      </c>
      <c r="E54">
        <v>3519</v>
      </c>
      <c r="F54">
        <v>3603</v>
      </c>
      <c r="G54" s="1"/>
      <c r="H54" s="1"/>
      <c r="I54" s="1"/>
      <c r="J54">
        <f t="shared" si="0"/>
        <v>57273</v>
      </c>
      <c r="K54" s="5">
        <f t="shared" si="1"/>
        <v>1.2616347881744202E-3</v>
      </c>
      <c r="L54" s="18" t="s">
        <v>1100</v>
      </c>
      <c r="M54" s="21" t="s">
        <v>656</v>
      </c>
      <c r="N54" s="18" t="s">
        <v>597</v>
      </c>
      <c r="O54" s="18"/>
      <c r="P54" s="21" t="s">
        <v>924</v>
      </c>
      <c r="Q54" s="18"/>
      <c r="R54" s="38"/>
      <c r="S54" s="38"/>
      <c r="T54" s="38"/>
      <c r="U54" s="38"/>
      <c r="V54" s="15"/>
    </row>
    <row r="55" spans="1:22" x14ac:dyDescent="0.25">
      <c r="A55">
        <v>40</v>
      </c>
      <c r="B55" s="1" t="s">
        <v>764</v>
      </c>
      <c r="C55" t="s">
        <v>943</v>
      </c>
      <c r="D55" s="2">
        <f>41837+9392</f>
        <v>51229</v>
      </c>
      <c r="E55">
        <v>5462</v>
      </c>
      <c r="F55" s="1"/>
      <c r="G55" s="1"/>
      <c r="H55" s="1"/>
      <c r="I55" s="1"/>
      <c r="J55">
        <f t="shared" si="0"/>
        <v>56691</v>
      </c>
      <c r="K55" s="5">
        <f t="shared" si="1"/>
        <v>1.2488142366629312E-3</v>
      </c>
      <c r="L55" s="21" t="s">
        <v>1101</v>
      </c>
      <c r="M55" s="21" t="s">
        <v>655</v>
      </c>
      <c r="N55" s="18" t="s">
        <v>596</v>
      </c>
      <c r="O55" s="18"/>
      <c r="P55" s="21" t="s">
        <v>923</v>
      </c>
      <c r="Q55" s="18"/>
      <c r="R55" s="15"/>
      <c r="S55" s="15"/>
      <c r="T55" s="15"/>
      <c r="U55" s="15"/>
      <c r="V55" s="15"/>
    </row>
    <row r="56" spans="1:22" x14ac:dyDescent="0.25">
      <c r="A56">
        <v>41</v>
      </c>
      <c r="B56" s="1" t="s">
        <v>766</v>
      </c>
      <c r="C56" t="s">
        <v>370</v>
      </c>
      <c r="D56" s="2">
        <f>45565+10075</f>
        <v>55640</v>
      </c>
      <c r="E56" s="2"/>
      <c r="F56" s="1"/>
      <c r="G56" s="1"/>
      <c r="H56" s="1"/>
      <c r="I56" s="1"/>
      <c r="J56">
        <f t="shared" si="0"/>
        <v>55640</v>
      </c>
      <c r="K56" s="5">
        <f t="shared" si="1"/>
        <v>1.225662347249572E-3</v>
      </c>
      <c r="L56" s="21" t="s">
        <v>1102</v>
      </c>
      <c r="M56" s="21" t="s">
        <v>652</v>
      </c>
      <c r="N56" s="18" t="s">
        <v>593</v>
      </c>
      <c r="O56" s="18"/>
      <c r="P56" s="21" t="s">
        <v>921</v>
      </c>
      <c r="Q56" s="18"/>
      <c r="R56" s="38"/>
      <c r="S56" s="38"/>
      <c r="T56" s="38"/>
      <c r="U56" s="38"/>
      <c r="V56" s="15"/>
    </row>
    <row r="57" spans="1:22" x14ac:dyDescent="0.25">
      <c r="A57">
        <v>42</v>
      </c>
      <c r="B57" t="s">
        <v>280</v>
      </c>
      <c r="C57" t="s">
        <v>963</v>
      </c>
      <c r="D57">
        <v>0</v>
      </c>
      <c r="E57">
        <v>2796</v>
      </c>
      <c r="F57">
        <f>34708+5221+3206</f>
        <v>43135</v>
      </c>
      <c r="J57">
        <f t="shared" si="0"/>
        <v>45931</v>
      </c>
      <c r="K57" s="5">
        <f t="shared" si="1"/>
        <v>1.0117882327735459E-3</v>
      </c>
      <c r="L57" s="9" t="s">
        <v>946</v>
      </c>
      <c r="M57" s="21" t="s">
        <v>659</v>
      </c>
      <c r="N57" s="18" t="s">
        <v>600</v>
      </c>
      <c r="O57" s="18"/>
      <c r="P57" s="21" t="s">
        <v>195</v>
      </c>
      <c r="Q57" s="18"/>
      <c r="R57" s="38"/>
      <c r="S57" s="38"/>
      <c r="T57" s="38"/>
      <c r="U57" s="38"/>
      <c r="V57" s="15"/>
    </row>
    <row r="58" spans="1:22" x14ac:dyDescent="0.25">
      <c r="A58">
        <v>43</v>
      </c>
      <c r="B58" s="1" t="s">
        <v>261</v>
      </c>
      <c r="C58" t="s">
        <v>374</v>
      </c>
      <c r="D58" s="2">
        <f>33608+11013</f>
        <v>44621</v>
      </c>
      <c r="E58" s="2"/>
      <c r="F58" s="1"/>
      <c r="G58" s="1"/>
      <c r="H58" s="1"/>
      <c r="I58" s="1"/>
      <c r="J58">
        <f t="shared" si="0"/>
        <v>44621</v>
      </c>
      <c r="K58" s="5">
        <f t="shared" si="1"/>
        <v>9.8293097765318402E-4</v>
      </c>
      <c r="L58" s="18" t="s">
        <v>1103</v>
      </c>
      <c r="M58" s="18" t="s">
        <v>657</v>
      </c>
      <c r="N58" s="18" t="s">
        <v>598</v>
      </c>
      <c r="O58" s="18"/>
      <c r="P58" s="18" t="s">
        <v>925</v>
      </c>
      <c r="Q58" s="18"/>
      <c r="R58" s="15"/>
      <c r="S58" s="15"/>
      <c r="T58" s="15"/>
      <c r="U58" s="15"/>
      <c r="V58" s="15"/>
    </row>
    <row r="59" spans="1:22" x14ac:dyDescent="0.25">
      <c r="A59">
        <v>44</v>
      </c>
      <c r="B59" s="1" t="s">
        <v>21</v>
      </c>
      <c r="C59" t="s">
        <v>947</v>
      </c>
      <c r="D59" s="2">
        <f>33475+6539</f>
        <v>40014</v>
      </c>
      <c r="E59">
        <v>2352</v>
      </c>
      <c r="F59" s="1"/>
      <c r="G59" s="1"/>
      <c r="H59" s="1"/>
      <c r="I59" s="1"/>
      <c r="J59">
        <f t="shared" si="0"/>
        <v>42366</v>
      </c>
      <c r="K59" s="5">
        <f t="shared" si="1"/>
        <v>9.3325684765591967E-4</v>
      </c>
      <c r="L59" s="18" t="s">
        <v>1104</v>
      </c>
      <c r="M59" s="18" t="s">
        <v>658</v>
      </c>
      <c r="N59" s="18" t="s">
        <v>599</v>
      </c>
      <c r="O59" s="18"/>
      <c r="P59" s="18" t="s">
        <v>926</v>
      </c>
      <c r="Q59" s="18"/>
      <c r="R59" s="15"/>
      <c r="S59" s="15"/>
      <c r="T59" s="15"/>
      <c r="U59" s="15"/>
      <c r="V59" s="15"/>
    </row>
    <row r="60" spans="1:22" x14ac:dyDescent="0.25">
      <c r="A60">
        <v>45</v>
      </c>
      <c r="B60" s="1" t="s">
        <v>95</v>
      </c>
      <c r="C60" t="s">
        <v>1026</v>
      </c>
      <c r="D60" s="2">
        <v>11607</v>
      </c>
      <c r="E60" s="2"/>
      <c r="F60">
        <f>25470+4186</f>
        <v>29656</v>
      </c>
      <c r="J60">
        <f t="shared" si="0"/>
        <v>41263</v>
      </c>
      <c r="K60" s="5">
        <f t="shared" si="1"/>
        <v>9.0895947941335535E-4</v>
      </c>
      <c r="L60" s="18" t="s">
        <v>1105</v>
      </c>
      <c r="M60" s="18"/>
      <c r="N60" s="18" t="s">
        <v>1403</v>
      </c>
      <c r="O60" s="18"/>
      <c r="P60" s="18" t="s">
        <v>1056</v>
      </c>
      <c r="Q60" s="18"/>
      <c r="R60" s="15"/>
      <c r="S60" s="15"/>
      <c r="T60" s="15"/>
      <c r="U60" s="15"/>
      <c r="V60" s="15"/>
    </row>
    <row r="61" spans="1:22" x14ac:dyDescent="0.25">
      <c r="A61">
        <v>46</v>
      </c>
      <c r="B61" s="1" t="s">
        <v>98</v>
      </c>
      <c r="C61" t="s">
        <v>1031</v>
      </c>
      <c r="D61" s="2">
        <v>10670</v>
      </c>
      <c r="E61" s="2"/>
      <c r="F61">
        <f>25470+4186</f>
        <v>29656</v>
      </c>
      <c r="J61">
        <f t="shared" si="0"/>
        <v>40326</v>
      </c>
      <c r="K61" s="5">
        <f t="shared" si="1"/>
        <v>8.8831883204863846E-4</v>
      </c>
      <c r="L61" s="18" t="s">
        <v>1106</v>
      </c>
      <c r="M61" s="18"/>
      <c r="N61" s="18" t="s">
        <v>1310</v>
      </c>
      <c r="O61" s="18"/>
      <c r="P61" s="18" t="s">
        <v>1057</v>
      </c>
      <c r="Q61" s="18"/>
      <c r="R61" s="15"/>
      <c r="S61" s="15"/>
      <c r="T61" s="15"/>
      <c r="U61" s="15"/>
      <c r="V61" s="15"/>
    </row>
    <row r="62" spans="1:22" x14ac:dyDescent="0.25">
      <c r="A62">
        <v>47</v>
      </c>
      <c r="B62" s="1" t="s">
        <v>265</v>
      </c>
      <c r="C62" t="s">
        <v>759</v>
      </c>
      <c r="D62" s="2">
        <f>24203+6533+7360</f>
        <v>38096</v>
      </c>
      <c r="E62" s="2"/>
      <c r="F62" s="1"/>
      <c r="G62" s="1"/>
      <c r="H62" s="1"/>
      <c r="I62" s="1"/>
      <c r="J62">
        <f t="shared" si="0"/>
        <v>38096</v>
      </c>
      <c r="K62" s="5">
        <f t="shared" si="1"/>
        <v>8.3919541302695361E-4</v>
      </c>
      <c r="L62" s="18" t="s">
        <v>1107</v>
      </c>
      <c r="M62" s="18" t="s">
        <v>603</v>
      </c>
      <c r="N62" s="18" t="s">
        <v>602</v>
      </c>
      <c r="O62" s="18"/>
      <c r="P62" s="18" t="s">
        <v>927</v>
      </c>
      <c r="Q62" s="18"/>
      <c r="R62" s="15"/>
      <c r="S62" s="15"/>
      <c r="T62" s="15"/>
      <c r="U62" s="15"/>
      <c r="V62" s="15"/>
    </row>
    <row r="63" spans="1:22" x14ac:dyDescent="0.25">
      <c r="A63">
        <v>48</v>
      </c>
      <c r="B63" s="1" t="s">
        <v>23</v>
      </c>
      <c r="C63" t="s">
        <v>625</v>
      </c>
      <c r="D63" s="2">
        <f>26765+4763+2174</f>
        <v>33702</v>
      </c>
      <c r="E63" s="2"/>
      <c r="F63" s="1">
        <v>2971</v>
      </c>
      <c r="G63" s="1"/>
      <c r="H63" s="1"/>
      <c r="I63" s="1">
        <v>1168</v>
      </c>
      <c r="J63">
        <f t="shared" si="0"/>
        <v>37841</v>
      </c>
      <c r="K63" s="5">
        <f t="shared" si="1"/>
        <v>8.3357816107604342E-4</v>
      </c>
      <c r="L63" s="18" t="s">
        <v>1108</v>
      </c>
      <c r="M63" s="18" t="s">
        <v>663</v>
      </c>
      <c r="N63" s="18" t="s">
        <v>614</v>
      </c>
      <c r="O63" s="18"/>
      <c r="P63" s="18" t="s">
        <v>928</v>
      </c>
      <c r="Q63" s="18"/>
      <c r="R63" s="15"/>
      <c r="S63" s="15"/>
      <c r="T63" s="15"/>
      <c r="U63" s="15"/>
      <c r="V63" s="15"/>
    </row>
    <row r="64" spans="1:22" x14ac:dyDescent="0.25">
      <c r="A64">
        <v>49</v>
      </c>
      <c r="B64" s="1" t="s">
        <v>295</v>
      </c>
      <c r="C64" t="s">
        <v>944</v>
      </c>
      <c r="D64" s="2">
        <f>27106+5135</f>
        <v>32241</v>
      </c>
      <c r="E64">
        <v>5090</v>
      </c>
      <c r="F64" s="1"/>
      <c r="G64" s="1"/>
      <c r="H64" s="1"/>
      <c r="I64" s="1"/>
      <c r="J64">
        <f t="shared" si="0"/>
        <v>37331</v>
      </c>
      <c r="K64" s="5">
        <f t="shared" si="1"/>
        <v>8.2234365717422315E-4</v>
      </c>
      <c r="L64" s="18" t="s">
        <v>1109</v>
      </c>
      <c r="M64" s="18" t="s">
        <v>662</v>
      </c>
      <c r="N64" s="18" t="s">
        <v>612</v>
      </c>
      <c r="O64" s="18"/>
      <c r="P64" s="18" t="s">
        <v>932</v>
      </c>
      <c r="Q64" s="18"/>
      <c r="R64" s="15"/>
      <c r="S64" s="15"/>
      <c r="T64" s="15"/>
      <c r="U64" s="15"/>
      <c r="V64" s="15"/>
    </row>
    <row r="65" spans="1:22" x14ac:dyDescent="0.25">
      <c r="A65">
        <v>50</v>
      </c>
      <c r="B65" s="1" t="s">
        <v>266</v>
      </c>
      <c r="C65" t="s">
        <v>621</v>
      </c>
      <c r="D65" s="2">
        <f>28910+4381+2878</f>
        <v>36169</v>
      </c>
      <c r="E65" s="2"/>
      <c r="F65" s="1"/>
      <c r="G65" s="1"/>
      <c r="H65" s="1"/>
      <c r="I65" s="1"/>
      <c r="J65">
        <f t="shared" si="0"/>
        <v>36169</v>
      </c>
      <c r="K65" s="5">
        <f t="shared" si="1"/>
        <v>7.9674661102929138E-4</v>
      </c>
      <c r="L65" s="18" t="s">
        <v>1110</v>
      </c>
      <c r="M65" s="18" t="s">
        <v>608</v>
      </c>
      <c r="N65" s="18" t="s">
        <v>611</v>
      </c>
      <c r="O65" s="18"/>
      <c r="P65" s="18" t="s">
        <v>929</v>
      </c>
      <c r="Q65" s="18"/>
      <c r="R65" s="15"/>
      <c r="S65" s="15"/>
      <c r="T65" s="15"/>
      <c r="U65" s="15"/>
      <c r="V65" s="15"/>
    </row>
    <row r="66" spans="1:22" x14ac:dyDescent="0.25">
      <c r="A66">
        <v>51</v>
      </c>
      <c r="B66" s="1" t="s">
        <v>22</v>
      </c>
      <c r="C66" t="s">
        <v>623</v>
      </c>
      <c r="D66" s="2">
        <f>28662+3053+1766</f>
        <v>33481</v>
      </c>
      <c r="E66" s="2"/>
      <c r="F66" s="1"/>
      <c r="G66" s="1"/>
      <c r="H66" s="1">
        <v>1599</v>
      </c>
      <c r="I66" s="1"/>
      <c r="J66">
        <f t="shared" si="0"/>
        <v>35080</v>
      </c>
      <c r="K66" s="5">
        <f t="shared" si="1"/>
        <v>7.7275764093305153E-4</v>
      </c>
      <c r="L66" s="18" t="s">
        <v>1111</v>
      </c>
      <c r="M66" s="18" t="s">
        <v>661</v>
      </c>
      <c r="N66" s="18" t="s">
        <v>609</v>
      </c>
      <c r="O66" s="18"/>
      <c r="P66" s="18" t="s">
        <v>931</v>
      </c>
      <c r="Q66" s="18"/>
      <c r="R66" s="15"/>
      <c r="S66" s="15"/>
      <c r="T66" s="15"/>
      <c r="U66" s="15"/>
      <c r="V66" s="15"/>
    </row>
    <row r="67" spans="1:22" x14ac:dyDescent="0.25">
      <c r="A67">
        <v>52</v>
      </c>
      <c r="B67" t="s">
        <v>262</v>
      </c>
      <c r="C67" t="s">
        <v>990</v>
      </c>
      <c r="D67">
        <f>25231+5413</f>
        <v>30644</v>
      </c>
      <c r="E67">
        <v>3488</v>
      </c>
      <c r="J67">
        <f t="shared" si="0"/>
        <v>34132</v>
      </c>
      <c r="K67" s="5">
        <f t="shared" si="1"/>
        <v>7.5187468073907972E-4</v>
      </c>
      <c r="L67" s="18" t="s">
        <v>1112</v>
      </c>
      <c r="M67" s="18"/>
      <c r="N67" s="18" t="s">
        <v>1424</v>
      </c>
      <c r="O67" s="18"/>
      <c r="P67" s="18" t="s">
        <v>1058</v>
      </c>
      <c r="Q67" s="18"/>
      <c r="R67" s="15"/>
      <c r="S67" s="15"/>
      <c r="T67" s="15"/>
      <c r="U67" s="15"/>
      <c r="V67" s="15"/>
    </row>
    <row r="68" spans="1:22" x14ac:dyDescent="0.25">
      <c r="A68">
        <v>53</v>
      </c>
      <c r="B68" s="1" t="s">
        <v>26</v>
      </c>
      <c r="C68" t="s">
        <v>956</v>
      </c>
      <c r="D68" s="2">
        <f>23833+5872</f>
        <v>29705</v>
      </c>
      <c r="E68" s="2"/>
      <c r="F68">
        <v>4199</v>
      </c>
      <c r="G68" s="1"/>
      <c r="H68" s="1"/>
      <c r="I68" s="1"/>
      <c r="J68">
        <f t="shared" si="0"/>
        <v>33904</v>
      </c>
      <c r="K68" s="5">
        <f t="shared" si="1"/>
        <v>7.4685219664179529E-4</v>
      </c>
      <c r="L68" s="18" t="s">
        <v>1113</v>
      </c>
      <c r="M68" s="18"/>
      <c r="N68" s="18" t="s">
        <v>1369</v>
      </c>
      <c r="O68" s="18"/>
      <c r="P68" s="18" t="s">
        <v>1059</v>
      </c>
      <c r="Q68" s="18"/>
      <c r="R68" s="15"/>
      <c r="S68" s="15"/>
      <c r="T68" s="15"/>
      <c r="U68" s="15"/>
      <c r="V68" s="15"/>
    </row>
    <row r="69" spans="1:22" x14ac:dyDescent="0.25">
      <c r="A69">
        <v>54</v>
      </c>
      <c r="B69" t="s">
        <v>730</v>
      </c>
      <c r="C69" t="s">
        <v>952</v>
      </c>
      <c r="D69">
        <v>3669</v>
      </c>
      <c r="F69">
        <f>25470+4186</f>
        <v>29656</v>
      </c>
      <c r="J69">
        <f t="shared" si="0"/>
        <v>33325</v>
      </c>
      <c r="K69" s="5">
        <f t="shared" si="1"/>
        <v>7.3409773044737583E-4</v>
      </c>
      <c r="L69" s="18" t="s">
        <v>1114</v>
      </c>
      <c r="M69" s="18"/>
      <c r="N69" s="18" t="s">
        <v>1428</v>
      </c>
      <c r="O69" s="18"/>
      <c r="P69" s="18" t="s">
        <v>1060</v>
      </c>
      <c r="Q69" s="18"/>
      <c r="R69" s="15"/>
      <c r="S69" s="15"/>
      <c r="T69" s="15"/>
      <c r="U69" s="15"/>
      <c r="V69" s="15"/>
    </row>
    <row r="70" spans="1:22" x14ac:dyDescent="0.25">
      <c r="A70">
        <v>55</v>
      </c>
      <c r="B70" s="1" t="s">
        <v>264</v>
      </c>
      <c r="C70" t="s">
        <v>992</v>
      </c>
      <c r="D70" s="2">
        <f>24050+4651</f>
        <v>28701</v>
      </c>
      <c r="E70">
        <v>3756</v>
      </c>
      <c r="F70" s="1"/>
      <c r="G70" s="1"/>
      <c r="H70" s="1"/>
      <c r="I70" s="1"/>
      <c r="J70">
        <f t="shared" si="0"/>
        <v>32457</v>
      </c>
      <c r="K70" s="5">
        <f t="shared" si="1"/>
        <v>7.1497704537525813E-4</v>
      </c>
      <c r="L70" s="18" t="s">
        <v>1115</v>
      </c>
      <c r="M70" s="18"/>
      <c r="N70" s="18" t="s">
        <v>1338</v>
      </c>
      <c r="O70" s="18"/>
      <c r="P70" s="18" t="s">
        <v>1061</v>
      </c>
      <c r="Q70" s="18"/>
      <c r="R70" s="15"/>
      <c r="S70" s="15"/>
      <c r="T70" s="15"/>
      <c r="U70" s="15"/>
      <c r="V70" s="15"/>
    </row>
    <row r="71" spans="1:22" x14ac:dyDescent="0.25">
      <c r="A71">
        <v>56</v>
      </c>
      <c r="B71" s="1" t="s">
        <v>312</v>
      </c>
      <c r="C71" t="s">
        <v>626</v>
      </c>
      <c r="D71" s="2">
        <f>25660+4189+1915</f>
        <v>31764</v>
      </c>
      <c r="E71" s="2"/>
      <c r="F71" s="1"/>
      <c r="G71" s="1"/>
      <c r="H71" s="1"/>
      <c r="I71" s="1"/>
      <c r="J71">
        <f t="shared" si="0"/>
        <v>31764</v>
      </c>
      <c r="K71" s="5">
        <f t="shared" si="1"/>
        <v>6.997113371321964E-4</v>
      </c>
      <c r="L71" s="18" t="s">
        <v>1116</v>
      </c>
      <c r="M71" s="18" t="s">
        <v>664</v>
      </c>
      <c r="N71" s="18" t="s">
        <v>615</v>
      </c>
      <c r="O71" s="18"/>
      <c r="P71" s="18" t="s">
        <v>933</v>
      </c>
      <c r="Q71" s="18"/>
      <c r="R71" s="15"/>
      <c r="S71" s="15"/>
      <c r="T71" s="15"/>
      <c r="U71" s="15"/>
      <c r="V71" s="15"/>
    </row>
    <row r="72" spans="1:22" x14ac:dyDescent="0.25">
      <c r="A72">
        <v>57</v>
      </c>
      <c r="B72" s="1" t="s">
        <v>309</v>
      </c>
      <c r="C72" t="s">
        <v>999</v>
      </c>
      <c r="D72" s="2">
        <f>21433+5715</f>
        <v>27148</v>
      </c>
      <c r="E72">
        <v>4496</v>
      </c>
      <c r="J72">
        <f t="shared" si="0"/>
        <v>31644</v>
      </c>
      <c r="K72" s="5">
        <f t="shared" si="1"/>
        <v>6.9706792444941513E-4</v>
      </c>
      <c r="L72" s="18" t="s">
        <v>1117</v>
      </c>
      <c r="M72" s="18"/>
      <c r="N72" s="18" t="s">
        <v>1430</v>
      </c>
      <c r="O72" s="18"/>
      <c r="P72" s="18"/>
      <c r="Q72" s="18"/>
      <c r="R72" s="38"/>
      <c r="S72" s="38"/>
      <c r="T72" s="38"/>
      <c r="U72" s="38"/>
      <c r="V72" s="15"/>
    </row>
    <row r="73" spans="1:22" x14ac:dyDescent="0.25">
      <c r="A73">
        <v>58</v>
      </c>
      <c r="B73" s="1" t="s">
        <v>24</v>
      </c>
      <c r="C73" t="s">
        <v>622</v>
      </c>
      <c r="D73" s="2">
        <f>25311+6258</f>
        <v>31569</v>
      </c>
      <c r="E73" s="2"/>
      <c r="F73" s="1"/>
      <c r="G73" s="1"/>
      <c r="H73" s="1"/>
      <c r="I73" s="1"/>
      <c r="J73">
        <f t="shared" si="0"/>
        <v>31569</v>
      </c>
      <c r="K73" s="5">
        <f t="shared" si="1"/>
        <v>6.9541579152267684E-4</v>
      </c>
      <c r="L73" s="18" t="s">
        <v>1118</v>
      </c>
      <c r="M73" s="18"/>
      <c r="N73" s="18" t="s">
        <v>1357</v>
      </c>
      <c r="O73" s="18"/>
      <c r="P73" s="18"/>
      <c r="Q73" s="18"/>
      <c r="R73" s="15"/>
      <c r="S73" s="15"/>
      <c r="T73" s="15"/>
      <c r="U73" s="15"/>
      <c r="V73" s="15"/>
    </row>
    <row r="74" spans="1:22" x14ac:dyDescent="0.25">
      <c r="A74">
        <v>59</v>
      </c>
      <c r="B74" s="1" t="s">
        <v>268</v>
      </c>
      <c r="C74" t="s">
        <v>1000</v>
      </c>
      <c r="D74" s="2">
        <f>21182+5944</f>
        <v>27126</v>
      </c>
      <c r="E74" s="2"/>
      <c r="G74">
        <v>4397</v>
      </c>
      <c r="J74">
        <f t="shared" si="0"/>
        <v>31523</v>
      </c>
      <c r="K74" s="5">
        <f t="shared" si="1"/>
        <v>6.9440248332761068E-4</v>
      </c>
      <c r="L74" s="18" t="s">
        <v>1119</v>
      </c>
      <c r="M74" s="18"/>
      <c r="N74" s="20" t="s">
        <v>1380</v>
      </c>
      <c r="O74" s="18"/>
      <c r="P74" s="18"/>
      <c r="Q74" s="18"/>
      <c r="R74" s="15"/>
      <c r="S74" s="15"/>
      <c r="T74" s="15"/>
      <c r="U74" s="15"/>
      <c r="V74" s="15"/>
    </row>
    <row r="75" spans="1:22" x14ac:dyDescent="0.25">
      <c r="A75">
        <v>60</v>
      </c>
      <c r="B75" s="1" t="s">
        <v>272</v>
      </c>
      <c r="C75" t="s">
        <v>996</v>
      </c>
      <c r="D75" s="2">
        <f>22970+4310</f>
        <v>27280</v>
      </c>
      <c r="E75">
        <v>3291</v>
      </c>
      <c r="F75" s="1"/>
      <c r="G75" s="1"/>
      <c r="H75" s="1"/>
      <c r="I75" s="1"/>
      <c r="J75">
        <f t="shared" si="0"/>
        <v>30571</v>
      </c>
      <c r="K75" s="5">
        <f t="shared" si="1"/>
        <v>6.7343140937754613E-4</v>
      </c>
      <c r="L75" s="18" t="s">
        <v>1120</v>
      </c>
      <c r="M75" s="18"/>
      <c r="N75" s="18" t="s">
        <v>1473</v>
      </c>
      <c r="O75" s="18"/>
      <c r="P75" s="18"/>
      <c r="Q75" s="18"/>
      <c r="R75" s="38"/>
      <c r="S75" s="38"/>
      <c r="T75" s="38"/>
      <c r="U75" s="38"/>
      <c r="V75" s="15"/>
    </row>
    <row r="76" spans="1:22" x14ac:dyDescent="0.25">
      <c r="A76">
        <v>61</v>
      </c>
      <c r="B76" s="1" t="s">
        <v>27</v>
      </c>
      <c r="C76" t="s">
        <v>994</v>
      </c>
      <c r="D76" s="2">
        <f>23297+4060</f>
        <v>27357</v>
      </c>
      <c r="E76">
        <v>2795</v>
      </c>
      <c r="F76" s="1"/>
      <c r="G76" s="1"/>
      <c r="H76" s="1"/>
      <c r="I76" s="1"/>
      <c r="J76">
        <f t="shared" si="0"/>
        <v>30152</v>
      </c>
      <c r="K76" s="5">
        <f t="shared" si="1"/>
        <v>6.6420149342683499E-4</v>
      </c>
      <c r="L76" s="18" t="s">
        <v>1121</v>
      </c>
      <c r="M76" s="18"/>
      <c r="N76" s="18" t="s">
        <v>1455</v>
      </c>
      <c r="O76" s="18"/>
      <c r="P76" s="18"/>
      <c r="Q76" s="18"/>
      <c r="R76" s="38"/>
      <c r="S76" s="38"/>
      <c r="T76" s="38"/>
      <c r="U76" s="38"/>
      <c r="V76" s="15"/>
    </row>
    <row r="77" spans="1:22" x14ac:dyDescent="0.25">
      <c r="A77">
        <v>62</v>
      </c>
      <c r="B77" s="1" t="s">
        <v>25</v>
      </c>
      <c r="C77" t="s">
        <v>991</v>
      </c>
      <c r="D77" s="2">
        <f>25221+4857</f>
        <v>30078</v>
      </c>
      <c r="E77" s="2"/>
      <c r="F77" s="1"/>
      <c r="G77" s="1"/>
      <c r="H77" s="1"/>
      <c r="I77" s="1"/>
      <c r="J77">
        <f t="shared" si="0"/>
        <v>30078</v>
      </c>
      <c r="K77" s="5">
        <f t="shared" si="1"/>
        <v>6.6257138893911988E-4</v>
      </c>
      <c r="L77" s="18" t="s">
        <v>1122</v>
      </c>
      <c r="M77" s="18"/>
      <c r="N77" s="18" t="s">
        <v>1390</v>
      </c>
      <c r="O77" s="18"/>
      <c r="P77" s="18"/>
      <c r="Q77" s="18"/>
      <c r="R77" s="15"/>
      <c r="S77" s="15"/>
      <c r="T77" s="15"/>
      <c r="U77" s="15"/>
      <c r="V77" s="15"/>
    </row>
    <row r="78" spans="1:22" x14ac:dyDescent="0.25">
      <c r="A78">
        <v>63</v>
      </c>
      <c r="B78" s="1" t="s">
        <v>767</v>
      </c>
      <c r="C78" t="s">
        <v>993</v>
      </c>
      <c r="D78" s="2">
        <f>23505+3995</f>
        <v>27500</v>
      </c>
      <c r="E78">
        <v>2539</v>
      </c>
      <c r="F78" s="1"/>
      <c r="G78" s="1"/>
      <c r="H78" s="1"/>
      <c r="I78" s="1"/>
      <c r="J78">
        <f t="shared" si="0"/>
        <v>30039</v>
      </c>
      <c r="K78" s="5">
        <f t="shared" si="1"/>
        <v>6.617122798172159E-4</v>
      </c>
      <c r="L78" s="18" t="s">
        <v>1123</v>
      </c>
      <c r="M78" s="18"/>
      <c r="N78" s="18" t="s">
        <v>1384</v>
      </c>
      <c r="O78" s="18"/>
      <c r="P78" s="18"/>
      <c r="Q78" s="18"/>
      <c r="R78" s="15"/>
      <c r="S78" s="15"/>
      <c r="T78" s="15"/>
      <c r="U78" s="15"/>
      <c r="V78" s="15"/>
    </row>
    <row r="79" spans="1:22" x14ac:dyDescent="0.25">
      <c r="A79">
        <v>64</v>
      </c>
      <c r="B79" s="1" t="s">
        <v>768</v>
      </c>
      <c r="C79" t="s">
        <v>1001</v>
      </c>
      <c r="D79" s="2">
        <f>21095+5532</f>
        <v>26627</v>
      </c>
      <c r="E79">
        <v>2909</v>
      </c>
      <c r="J79">
        <f t="shared" si="0"/>
        <v>29536</v>
      </c>
      <c r="K79" s="5">
        <f t="shared" si="1"/>
        <v>6.5063197498855792E-4</v>
      </c>
      <c r="L79" s="18" t="s">
        <v>1124</v>
      </c>
      <c r="M79" s="18"/>
      <c r="N79" s="18" t="s">
        <v>1326</v>
      </c>
      <c r="O79" s="18"/>
      <c r="P79" s="18"/>
      <c r="Q79" s="18"/>
      <c r="R79" s="15"/>
      <c r="S79" s="15"/>
      <c r="T79" s="15"/>
      <c r="U79" s="15"/>
      <c r="V79" s="15"/>
    </row>
    <row r="80" spans="1:22" x14ac:dyDescent="0.25">
      <c r="A80">
        <v>65</v>
      </c>
      <c r="B80" s="1" t="s">
        <v>81</v>
      </c>
      <c r="C80" t="s">
        <v>1002</v>
      </c>
      <c r="D80" s="2">
        <f>21029+3590</f>
        <v>24619</v>
      </c>
      <c r="E80" s="2"/>
      <c r="F80">
        <v>3241</v>
      </c>
      <c r="J80">
        <f t="shared" ref="J80:J143" si="2">SUM(D80:I80)</f>
        <v>27860</v>
      </c>
      <c r="K80" s="5">
        <f t="shared" ref="K80:K143" si="3">J80/J$13</f>
        <v>6.1371231118571314E-4</v>
      </c>
      <c r="L80" s="18" t="s">
        <v>1125</v>
      </c>
      <c r="M80" s="18"/>
      <c r="N80" s="18" t="s">
        <v>1434</v>
      </c>
      <c r="O80" s="18"/>
      <c r="P80" s="18"/>
      <c r="Q80" s="18"/>
      <c r="R80" s="38"/>
      <c r="S80" s="38"/>
      <c r="T80" s="38"/>
      <c r="U80" s="38"/>
      <c r="V80" s="15"/>
    </row>
    <row r="81" spans="1:22" x14ac:dyDescent="0.25">
      <c r="A81">
        <v>66</v>
      </c>
      <c r="B81" s="1" t="s">
        <v>269</v>
      </c>
      <c r="C81" t="s">
        <v>1003</v>
      </c>
      <c r="D81" s="2">
        <f>20152+3893</f>
        <v>24045</v>
      </c>
      <c r="E81">
        <v>2486</v>
      </c>
      <c r="J81">
        <f t="shared" si="2"/>
        <v>26531</v>
      </c>
      <c r="K81" s="5">
        <f t="shared" si="3"/>
        <v>5.8443651572391076E-4</v>
      </c>
      <c r="L81" s="47" t="s">
        <v>1126</v>
      </c>
      <c r="M81" s="18"/>
      <c r="N81" s="18" t="s">
        <v>1327</v>
      </c>
      <c r="O81" s="18"/>
      <c r="P81" s="18"/>
      <c r="Q81" s="18"/>
      <c r="R81" s="15"/>
      <c r="S81" s="15"/>
      <c r="T81" s="15"/>
      <c r="U81" s="15"/>
      <c r="V81" s="15"/>
    </row>
    <row r="82" spans="1:22" x14ac:dyDescent="0.25">
      <c r="A82">
        <v>67</v>
      </c>
      <c r="B82" s="1" t="s">
        <v>28</v>
      </c>
      <c r="C82" t="s">
        <v>995</v>
      </c>
      <c r="D82" s="2">
        <f>23083+3209</f>
        <v>26292</v>
      </c>
      <c r="E82" s="2"/>
      <c r="F82" s="1"/>
      <c r="G82" s="1"/>
      <c r="H82" s="1"/>
      <c r="I82" s="1"/>
      <c r="J82">
        <f t="shared" si="2"/>
        <v>26292</v>
      </c>
      <c r="K82" s="5">
        <f t="shared" si="3"/>
        <v>5.7917171879737152E-4</v>
      </c>
      <c r="L82" s="18" t="s">
        <v>1127</v>
      </c>
      <c r="M82" s="18"/>
      <c r="N82" s="18" t="s">
        <v>1431</v>
      </c>
      <c r="O82" s="18"/>
      <c r="P82" s="18"/>
      <c r="Q82" s="18"/>
      <c r="R82" s="38"/>
      <c r="S82" s="38"/>
      <c r="T82" s="38"/>
      <c r="U82" s="38"/>
      <c r="V82" s="15"/>
    </row>
    <row r="83" spans="1:22" x14ac:dyDescent="0.25">
      <c r="A83">
        <v>68</v>
      </c>
      <c r="B83" s="1" t="s">
        <v>284</v>
      </c>
      <c r="C83" t="s">
        <v>998</v>
      </c>
      <c r="D83" s="2">
        <f>21557+4096</f>
        <v>25653</v>
      </c>
      <c r="E83" s="2"/>
      <c r="J83">
        <f t="shared" si="2"/>
        <v>25653</v>
      </c>
      <c r="K83" s="5">
        <f t="shared" si="3"/>
        <v>5.6509554626156132E-4</v>
      </c>
      <c r="L83" s="18" t="s">
        <v>1128</v>
      </c>
      <c r="M83" s="18"/>
      <c r="N83" s="18" t="s">
        <v>1336</v>
      </c>
      <c r="O83" s="18"/>
      <c r="P83" s="18"/>
      <c r="Q83" s="18"/>
      <c r="R83" s="15"/>
      <c r="S83" s="15"/>
      <c r="T83" s="15"/>
      <c r="U83" s="15"/>
      <c r="V83" s="15"/>
    </row>
    <row r="84" spans="1:22" x14ac:dyDescent="0.25">
      <c r="A84">
        <v>69</v>
      </c>
      <c r="B84" s="1" t="s">
        <v>260</v>
      </c>
      <c r="C84" t="s">
        <v>1011</v>
      </c>
      <c r="D84" s="2">
        <f>15785+6214</f>
        <v>21999</v>
      </c>
      <c r="E84">
        <v>3546</v>
      </c>
      <c r="J84">
        <f t="shared" si="2"/>
        <v>25545</v>
      </c>
      <c r="K84" s="5">
        <f t="shared" si="3"/>
        <v>5.6271647484705816E-4</v>
      </c>
      <c r="L84" s="18" t="s">
        <v>1129</v>
      </c>
      <c r="M84" s="18"/>
      <c r="N84" s="18" t="s">
        <v>1412</v>
      </c>
      <c r="O84" s="18"/>
      <c r="P84" s="18"/>
      <c r="Q84" s="18"/>
      <c r="R84" s="38"/>
      <c r="S84" s="38"/>
      <c r="T84" s="38"/>
      <c r="U84" s="38"/>
      <c r="V84" s="15"/>
    </row>
    <row r="85" spans="1:22" x14ac:dyDescent="0.25">
      <c r="A85">
        <v>70</v>
      </c>
      <c r="B85" s="1" t="s">
        <v>82</v>
      </c>
      <c r="C85" t="s">
        <v>1005</v>
      </c>
      <c r="D85" s="2">
        <f>18756+3019</f>
        <v>21775</v>
      </c>
      <c r="E85">
        <v>3166</v>
      </c>
      <c r="J85">
        <f t="shared" si="2"/>
        <v>24941</v>
      </c>
      <c r="K85" s="5">
        <f t="shared" si="3"/>
        <v>5.494112976770593E-4</v>
      </c>
      <c r="L85" s="18" t="s">
        <v>1130</v>
      </c>
      <c r="M85" s="18"/>
      <c r="N85" s="18" t="s">
        <v>1443</v>
      </c>
      <c r="O85" s="18"/>
      <c r="P85" s="18"/>
      <c r="Q85" s="18"/>
      <c r="R85" s="38"/>
      <c r="S85" s="38"/>
      <c r="T85" s="38"/>
      <c r="U85" s="38"/>
      <c r="V85" s="15"/>
    </row>
    <row r="86" spans="1:22" x14ac:dyDescent="0.25">
      <c r="A86">
        <v>71</v>
      </c>
      <c r="B86" s="1" t="s">
        <v>29</v>
      </c>
      <c r="C86" t="s">
        <v>997</v>
      </c>
      <c r="D86" s="2">
        <f>22079+2549</f>
        <v>24628</v>
      </c>
      <c r="E86" s="2"/>
      <c r="F86" s="1"/>
      <c r="G86" s="1"/>
      <c r="H86" s="1"/>
      <c r="I86" s="1"/>
      <c r="J86">
        <f t="shared" si="2"/>
        <v>24628</v>
      </c>
      <c r="K86" s="5">
        <f t="shared" si="3"/>
        <v>5.4251639626280484E-4</v>
      </c>
      <c r="L86" s="18" t="s">
        <v>1131</v>
      </c>
      <c r="M86" s="18"/>
      <c r="N86" s="18" t="s">
        <v>1447</v>
      </c>
      <c r="O86" s="18"/>
      <c r="P86" s="18"/>
      <c r="Q86" s="18"/>
      <c r="R86" s="38"/>
      <c r="S86" s="38"/>
      <c r="T86" s="38"/>
      <c r="U86" s="38"/>
      <c r="V86" s="15"/>
    </row>
    <row r="87" spans="1:22" x14ac:dyDescent="0.25">
      <c r="A87">
        <v>72</v>
      </c>
      <c r="B87" s="1" t="s">
        <v>303</v>
      </c>
      <c r="C87" t="s">
        <v>534</v>
      </c>
      <c r="D87">
        <v>1232</v>
      </c>
      <c r="F87" s="1"/>
      <c r="G87" s="1"/>
      <c r="H87" s="2">
        <f>14396+6197+2262</f>
        <v>22855</v>
      </c>
      <c r="I87" s="1"/>
      <c r="J87">
        <f t="shared" si="2"/>
        <v>24087</v>
      </c>
      <c r="K87" s="5">
        <f t="shared" si="3"/>
        <v>5.3059901075126607E-4</v>
      </c>
      <c r="L87" s="21" t="s">
        <v>1132</v>
      </c>
      <c r="M87" s="18"/>
      <c r="N87" s="18" t="s">
        <v>1480</v>
      </c>
      <c r="O87" s="18"/>
      <c r="P87" s="20"/>
      <c r="Q87" s="20"/>
      <c r="R87" s="38"/>
      <c r="S87" s="38" t="s">
        <v>375</v>
      </c>
      <c r="T87" s="38"/>
      <c r="U87" s="38"/>
      <c r="V87" s="15"/>
    </row>
    <row r="88" spans="1:22" x14ac:dyDescent="0.25">
      <c r="A88">
        <v>73</v>
      </c>
      <c r="B88" s="1" t="s">
        <v>296</v>
      </c>
      <c r="C88" t="s">
        <v>1004</v>
      </c>
      <c r="D88" s="2">
        <f>19987+2839</f>
        <v>22826</v>
      </c>
      <c r="E88" s="2"/>
      <c r="J88">
        <f t="shared" si="2"/>
        <v>22826</v>
      </c>
      <c r="K88" s="5">
        <f t="shared" si="3"/>
        <v>5.028211491430398E-4</v>
      </c>
      <c r="L88" s="18" t="s">
        <v>1133</v>
      </c>
      <c r="M88" s="18"/>
      <c r="N88" s="18" t="s">
        <v>1367</v>
      </c>
      <c r="O88" s="18"/>
      <c r="P88" s="18"/>
      <c r="Q88" s="18"/>
      <c r="R88" s="15"/>
      <c r="S88" s="15"/>
      <c r="T88" s="15"/>
      <c r="U88" s="15"/>
      <c r="V88" s="15"/>
    </row>
    <row r="89" spans="1:22" x14ac:dyDescent="0.25">
      <c r="A89">
        <v>74</v>
      </c>
      <c r="B89" s="1" t="s">
        <v>275</v>
      </c>
      <c r="C89" t="s">
        <v>1010</v>
      </c>
      <c r="D89" s="2">
        <f>16159+5396</f>
        <v>21555</v>
      </c>
      <c r="E89" s="2"/>
      <c r="J89">
        <f t="shared" si="2"/>
        <v>21555</v>
      </c>
      <c r="K89" s="5">
        <f t="shared" si="3"/>
        <v>4.7482300314458169E-4</v>
      </c>
      <c r="L89" s="18" t="s">
        <v>1134</v>
      </c>
      <c r="M89" s="18"/>
      <c r="N89" s="18" t="s">
        <v>1335</v>
      </c>
      <c r="O89" s="18"/>
      <c r="P89" s="18"/>
      <c r="Q89" s="18"/>
      <c r="R89" s="15"/>
      <c r="S89" s="15"/>
      <c r="T89" s="15"/>
      <c r="U89" s="15"/>
      <c r="V89" s="15"/>
    </row>
    <row r="90" spans="1:22" x14ac:dyDescent="0.25">
      <c r="A90">
        <v>75</v>
      </c>
      <c r="B90" s="1" t="s">
        <v>769</v>
      </c>
      <c r="C90" t="s">
        <v>969</v>
      </c>
      <c r="D90" s="2">
        <f>16813+4695</f>
        <v>21508</v>
      </c>
      <c r="E90" s="2"/>
      <c r="J90">
        <f t="shared" si="2"/>
        <v>21508</v>
      </c>
      <c r="K90" s="5">
        <f t="shared" si="3"/>
        <v>4.737876665104924E-4</v>
      </c>
      <c r="L90" s="18" t="s">
        <v>1135</v>
      </c>
      <c r="M90" s="18"/>
      <c r="N90" s="18" t="s">
        <v>1349</v>
      </c>
      <c r="O90" s="18"/>
      <c r="P90" s="18"/>
      <c r="Q90" s="18"/>
      <c r="R90" s="15"/>
      <c r="S90" s="15"/>
      <c r="T90" s="15"/>
      <c r="U90" s="15"/>
      <c r="V90" s="15"/>
    </row>
    <row r="91" spans="1:22" x14ac:dyDescent="0.25">
      <c r="A91">
        <v>76</v>
      </c>
      <c r="B91" s="1" t="s">
        <v>84</v>
      </c>
      <c r="C91" t="s">
        <v>1006</v>
      </c>
      <c r="D91" s="2">
        <f>18174+3124</f>
        <v>21298</v>
      </c>
      <c r="E91" s="2"/>
      <c r="J91">
        <f t="shared" si="2"/>
        <v>21298</v>
      </c>
      <c r="K91" s="5">
        <f t="shared" si="3"/>
        <v>4.6916169431562518E-4</v>
      </c>
      <c r="L91" s="18" t="s">
        <v>1136</v>
      </c>
      <c r="M91" s="18"/>
      <c r="N91" s="21" t="s">
        <v>1346</v>
      </c>
      <c r="O91" s="18"/>
      <c r="P91" s="18"/>
      <c r="Q91" s="18"/>
      <c r="R91" s="15"/>
      <c r="S91" s="15"/>
      <c r="T91" s="15"/>
      <c r="U91" s="15"/>
      <c r="V91" s="15"/>
    </row>
    <row r="92" spans="1:22" x14ac:dyDescent="0.25">
      <c r="A92">
        <v>77</v>
      </c>
      <c r="B92" s="1" t="s">
        <v>120</v>
      </c>
      <c r="C92" t="s">
        <v>371</v>
      </c>
      <c r="D92" s="2">
        <f>7320+13724</f>
        <v>21044</v>
      </c>
      <c r="E92" s="2"/>
      <c r="J92">
        <f t="shared" si="2"/>
        <v>21044</v>
      </c>
      <c r="K92" s="5">
        <f t="shared" si="3"/>
        <v>4.6356647080373823E-4</v>
      </c>
      <c r="L92" s="18" t="s">
        <v>1137</v>
      </c>
      <c r="M92" s="18"/>
      <c r="N92" s="20" t="s">
        <v>217</v>
      </c>
      <c r="O92" s="18"/>
      <c r="P92" s="18"/>
      <c r="Q92" s="18"/>
      <c r="R92" s="15"/>
      <c r="S92" s="15"/>
      <c r="T92" s="15"/>
      <c r="U92" s="15"/>
      <c r="V92" s="15"/>
    </row>
    <row r="93" spans="1:22" x14ac:dyDescent="0.25">
      <c r="A93">
        <v>78</v>
      </c>
      <c r="B93" s="1" t="s">
        <v>322</v>
      </c>
      <c r="C93" t="s">
        <v>1016</v>
      </c>
      <c r="D93" s="2">
        <v>14237</v>
      </c>
      <c r="E93">
        <v>3276</v>
      </c>
      <c r="H93">
        <v>3219</v>
      </c>
      <c r="J93">
        <f t="shared" si="2"/>
        <v>20732</v>
      </c>
      <c r="K93" s="5">
        <f t="shared" si="3"/>
        <v>4.5669359782850695E-4</v>
      </c>
      <c r="L93" s="21" t="s">
        <v>1138</v>
      </c>
      <c r="M93" s="18"/>
      <c r="N93" s="20" t="s">
        <v>1475</v>
      </c>
      <c r="O93" s="18"/>
      <c r="P93" s="18"/>
      <c r="Q93" s="18"/>
      <c r="R93" s="38"/>
      <c r="S93" s="38"/>
      <c r="T93" s="38"/>
      <c r="U93" s="38"/>
      <c r="V93" s="15"/>
    </row>
    <row r="94" spans="1:22" x14ac:dyDescent="0.25">
      <c r="A94">
        <v>79</v>
      </c>
      <c r="B94" s="1" t="s">
        <v>86</v>
      </c>
      <c r="C94" t="s">
        <v>1008</v>
      </c>
      <c r="D94" s="2">
        <f>17504+3110</f>
        <v>20614</v>
      </c>
      <c r="E94" s="2"/>
      <c r="J94">
        <f t="shared" si="2"/>
        <v>20614</v>
      </c>
      <c r="K94" s="5">
        <f t="shared" si="3"/>
        <v>4.5409424202377206E-4</v>
      </c>
      <c r="L94" s="18" t="s">
        <v>1139</v>
      </c>
      <c r="M94" s="18"/>
      <c r="N94" s="18" t="s">
        <v>1319</v>
      </c>
      <c r="O94" s="18"/>
      <c r="P94" s="18"/>
      <c r="Q94" s="18"/>
      <c r="R94" s="15"/>
      <c r="S94" s="15"/>
      <c r="T94" s="15"/>
      <c r="U94" s="15"/>
      <c r="V94" s="15"/>
    </row>
    <row r="95" spans="1:22" x14ac:dyDescent="0.25">
      <c r="A95">
        <v>80</v>
      </c>
      <c r="B95" s="1" t="s">
        <v>770</v>
      </c>
      <c r="C95" t="s">
        <v>1013</v>
      </c>
      <c r="D95" s="2">
        <f>14847+4990</f>
        <v>19837</v>
      </c>
      <c r="E95" s="2"/>
      <c r="J95">
        <f t="shared" si="2"/>
        <v>19837</v>
      </c>
      <c r="K95" s="5">
        <f t="shared" si="3"/>
        <v>4.3697814490276348E-4</v>
      </c>
      <c r="L95" s="18" t="s">
        <v>1140</v>
      </c>
      <c r="M95" s="18"/>
      <c r="N95" s="18" t="s">
        <v>1299</v>
      </c>
      <c r="O95" s="18"/>
      <c r="P95" s="18"/>
      <c r="Q95" s="18"/>
      <c r="R95" s="15"/>
      <c r="S95" s="15"/>
      <c r="T95" s="15"/>
      <c r="U95" s="15"/>
      <c r="V95" s="15"/>
    </row>
    <row r="96" spans="1:22" x14ac:dyDescent="0.25">
      <c r="A96">
        <v>81</v>
      </c>
      <c r="B96" s="1" t="s">
        <v>87</v>
      </c>
      <c r="C96" t="s">
        <v>1009</v>
      </c>
      <c r="D96" s="2">
        <f>16284+2652</f>
        <v>18936</v>
      </c>
      <c r="E96" s="2"/>
      <c r="J96">
        <f t="shared" si="2"/>
        <v>18936</v>
      </c>
      <c r="K96" s="5">
        <f t="shared" si="3"/>
        <v>4.1713052134288096E-4</v>
      </c>
      <c r="L96" s="18" t="s">
        <v>1141</v>
      </c>
      <c r="M96" s="18"/>
      <c r="N96" s="18" t="s">
        <v>1304</v>
      </c>
      <c r="O96" s="18"/>
      <c r="P96" s="18"/>
      <c r="Q96" s="18"/>
      <c r="R96" s="15"/>
      <c r="S96" s="15"/>
      <c r="T96" s="15"/>
      <c r="U96" s="15"/>
      <c r="V96" s="15"/>
    </row>
    <row r="97" spans="1:22" x14ac:dyDescent="0.25">
      <c r="A97">
        <v>82</v>
      </c>
      <c r="B97" s="1" t="s">
        <v>263</v>
      </c>
      <c r="C97" t="s">
        <v>1025</v>
      </c>
      <c r="D97" s="2">
        <f>11823+4508</f>
        <v>16331</v>
      </c>
      <c r="E97">
        <v>2596</v>
      </c>
      <c r="J97">
        <f t="shared" si="2"/>
        <v>18927</v>
      </c>
      <c r="K97" s="5">
        <f t="shared" si="3"/>
        <v>4.1693226539167235E-4</v>
      </c>
      <c r="L97" s="18" t="s">
        <v>1142</v>
      </c>
      <c r="M97" s="18"/>
      <c r="N97" s="18" t="s">
        <v>1316</v>
      </c>
      <c r="O97" s="18"/>
      <c r="P97" s="18"/>
      <c r="Q97" s="18"/>
      <c r="R97" s="15"/>
      <c r="S97" s="15"/>
      <c r="T97" s="15"/>
      <c r="U97" s="15"/>
      <c r="V97" s="15"/>
    </row>
    <row r="98" spans="1:22" x14ac:dyDescent="0.25">
      <c r="A98">
        <v>83</v>
      </c>
      <c r="B98" s="1" t="s">
        <v>85</v>
      </c>
      <c r="C98" t="s">
        <v>1007</v>
      </c>
      <c r="D98" s="2">
        <f>17973+342</f>
        <v>18315</v>
      </c>
      <c r="E98" s="2"/>
      <c r="J98">
        <f t="shared" si="2"/>
        <v>18315</v>
      </c>
      <c r="K98" s="5">
        <f t="shared" si="3"/>
        <v>4.0345086070948802E-4</v>
      </c>
      <c r="L98" s="18" t="s">
        <v>1143</v>
      </c>
      <c r="M98" s="18"/>
      <c r="N98" s="18" t="s">
        <v>1396</v>
      </c>
      <c r="O98" s="18"/>
      <c r="P98" s="18"/>
      <c r="Q98" s="18"/>
      <c r="R98" s="15"/>
      <c r="S98" s="15"/>
      <c r="T98" s="15"/>
      <c r="U98" s="15"/>
      <c r="V98" s="15"/>
    </row>
    <row r="99" spans="1:22" x14ac:dyDescent="0.25">
      <c r="A99">
        <v>84</v>
      </c>
      <c r="B99" s="1" t="s">
        <v>771</v>
      </c>
      <c r="C99" t="s">
        <v>1019</v>
      </c>
      <c r="D99" s="2">
        <f>13456+4560</f>
        <v>18016</v>
      </c>
      <c r="E99" s="2"/>
      <c r="J99">
        <f t="shared" si="2"/>
        <v>18016</v>
      </c>
      <c r="K99" s="5">
        <f t="shared" si="3"/>
        <v>3.9686435744155804E-4</v>
      </c>
      <c r="L99" s="18" t="s">
        <v>1144</v>
      </c>
      <c r="M99" s="18"/>
      <c r="N99" s="18" t="s">
        <v>1423</v>
      </c>
      <c r="O99" s="18"/>
      <c r="P99" s="18"/>
      <c r="Q99" s="18"/>
      <c r="R99" s="38"/>
      <c r="S99" s="38"/>
      <c r="T99" s="38"/>
      <c r="U99" s="38"/>
      <c r="V99" s="15"/>
    </row>
    <row r="100" spans="1:22" x14ac:dyDescent="0.25">
      <c r="A100">
        <v>85</v>
      </c>
      <c r="B100" s="1" t="s">
        <v>292</v>
      </c>
      <c r="C100" t="s">
        <v>1014</v>
      </c>
      <c r="D100" s="2">
        <f>14620+2656</f>
        <v>17276</v>
      </c>
      <c r="E100" s="2"/>
      <c r="J100">
        <f t="shared" si="2"/>
        <v>17276</v>
      </c>
      <c r="K100" s="5">
        <f t="shared" si="3"/>
        <v>3.8056331256440702E-4</v>
      </c>
      <c r="L100" s="18" t="s">
        <v>1145</v>
      </c>
      <c r="M100" s="18"/>
      <c r="N100" s="18" t="s">
        <v>1334</v>
      </c>
      <c r="O100" s="18"/>
      <c r="P100" s="18"/>
      <c r="Q100" s="18"/>
      <c r="R100" s="15"/>
      <c r="S100" s="15"/>
      <c r="T100" s="15"/>
      <c r="U100" s="15"/>
      <c r="V100" s="15"/>
    </row>
    <row r="101" spans="1:22" x14ac:dyDescent="0.25">
      <c r="A101">
        <v>86</v>
      </c>
      <c r="B101" s="1" t="s">
        <v>293</v>
      </c>
      <c r="C101" t="s">
        <v>1018</v>
      </c>
      <c r="D101" s="2">
        <f>13510+3763</f>
        <v>17273</v>
      </c>
      <c r="E101" s="2"/>
      <c r="J101">
        <f t="shared" si="2"/>
        <v>17273</v>
      </c>
      <c r="K101" s="5">
        <f t="shared" si="3"/>
        <v>3.8049722724733747E-4</v>
      </c>
      <c r="L101" s="18" t="s">
        <v>1146</v>
      </c>
      <c r="M101" s="18"/>
      <c r="N101" s="18" t="s">
        <v>1388</v>
      </c>
      <c r="O101" s="18"/>
      <c r="P101" s="18"/>
      <c r="Q101" s="18"/>
      <c r="R101" s="15"/>
      <c r="S101" s="15"/>
      <c r="T101" s="15"/>
      <c r="U101" s="15"/>
      <c r="V101" s="15"/>
    </row>
    <row r="102" spans="1:22" x14ac:dyDescent="0.25">
      <c r="A102">
        <v>87</v>
      </c>
      <c r="B102" s="1" t="s">
        <v>91</v>
      </c>
      <c r="C102" t="s">
        <v>1015</v>
      </c>
      <c r="D102" s="2">
        <f>14388+2782</f>
        <v>17170</v>
      </c>
      <c r="E102" s="2"/>
      <c r="J102">
        <f t="shared" si="2"/>
        <v>17170</v>
      </c>
      <c r="K102" s="5">
        <f t="shared" si="3"/>
        <v>3.7822829802795023E-4</v>
      </c>
      <c r="L102" s="18" t="s">
        <v>1147</v>
      </c>
      <c r="M102" s="18"/>
      <c r="N102" s="18" t="s">
        <v>1463</v>
      </c>
      <c r="O102" s="18"/>
      <c r="P102" s="18"/>
      <c r="Q102" s="18"/>
      <c r="R102" s="38"/>
      <c r="S102" s="38"/>
      <c r="T102" s="38"/>
      <c r="U102" s="38"/>
      <c r="V102" s="15"/>
    </row>
    <row r="103" spans="1:22" x14ac:dyDescent="0.25">
      <c r="A103">
        <v>88</v>
      </c>
      <c r="B103" s="1" t="s">
        <v>88</v>
      </c>
      <c r="C103" t="s">
        <v>88</v>
      </c>
      <c r="D103" s="2">
        <v>15921</v>
      </c>
      <c r="E103" s="2"/>
      <c r="J103">
        <f t="shared" si="2"/>
        <v>15921</v>
      </c>
      <c r="K103" s="5">
        <f t="shared" si="3"/>
        <v>3.5071477768800212E-4</v>
      </c>
      <c r="L103" s="18" t="s">
        <v>1148</v>
      </c>
      <c r="M103" s="18"/>
      <c r="N103" s="18" t="s">
        <v>1360</v>
      </c>
      <c r="O103" s="18"/>
      <c r="P103" s="18"/>
      <c r="Q103" s="18"/>
      <c r="R103" s="15"/>
      <c r="S103" s="15"/>
      <c r="T103" s="15"/>
      <c r="U103" s="15"/>
      <c r="V103" s="15"/>
    </row>
    <row r="104" spans="1:22" x14ac:dyDescent="0.25">
      <c r="A104">
        <v>89</v>
      </c>
      <c r="B104" s="1" t="s">
        <v>89</v>
      </c>
      <c r="C104" t="s">
        <v>89</v>
      </c>
      <c r="D104" s="2">
        <v>15399</v>
      </c>
      <c r="E104" s="2"/>
      <c r="J104">
        <f t="shared" si="2"/>
        <v>15399</v>
      </c>
      <c r="K104" s="5">
        <f t="shared" si="3"/>
        <v>3.3921593251790369E-4</v>
      </c>
      <c r="L104" s="18" t="s">
        <v>1149</v>
      </c>
      <c r="M104" s="18"/>
      <c r="N104" s="18" t="s">
        <v>1418</v>
      </c>
      <c r="O104" s="18"/>
      <c r="P104" s="18"/>
      <c r="Q104" s="18"/>
      <c r="R104" s="38"/>
      <c r="S104" s="38"/>
      <c r="T104" s="38"/>
      <c r="U104" s="38"/>
      <c r="V104" s="15"/>
    </row>
    <row r="105" spans="1:22" x14ac:dyDescent="0.25">
      <c r="A105">
        <v>90</v>
      </c>
      <c r="B105" s="1" t="s">
        <v>773</v>
      </c>
      <c r="C105" t="s">
        <v>1022</v>
      </c>
      <c r="D105" s="2">
        <f>12189+2946</f>
        <v>15135</v>
      </c>
      <c r="E105" s="2"/>
      <c r="J105">
        <f t="shared" si="2"/>
        <v>15135</v>
      </c>
      <c r="K105" s="5">
        <f t="shared" si="3"/>
        <v>3.3340042461578494E-4</v>
      </c>
      <c r="L105" s="21" t="s">
        <v>1150</v>
      </c>
      <c r="M105" s="18"/>
      <c r="N105" s="18" t="s">
        <v>1474</v>
      </c>
      <c r="O105" s="18"/>
      <c r="P105" s="18"/>
      <c r="Q105" s="18"/>
      <c r="R105" s="15"/>
      <c r="S105" s="15"/>
      <c r="T105" s="15"/>
      <c r="U105" s="15"/>
      <c r="V105" s="15"/>
    </row>
    <row r="106" spans="1:22" x14ac:dyDescent="0.25">
      <c r="A106">
        <v>91</v>
      </c>
      <c r="B106" s="1" t="s">
        <v>287</v>
      </c>
      <c r="C106" t="s">
        <v>1021</v>
      </c>
      <c r="D106" s="2">
        <f>12517+2607</f>
        <v>15124</v>
      </c>
      <c r="E106" s="2"/>
      <c r="J106">
        <f t="shared" si="2"/>
        <v>15124</v>
      </c>
      <c r="K106" s="5">
        <f t="shared" si="3"/>
        <v>3.3315811178652997E-4</v>
      </c>
      <c r="L106" s="18" t="s">
        <v>1151</v>
      </c>
      <c r="M106" s="18"/>
      <c r="N106" s="18" t="s">
        <v>1347</v>
      </c>
      <c r="O106" s="18"/>
      <c r="P106" s="18"/>
      <c r="Q106" s="18"/>
      <c r="R106" s="15"/>
      <c r="S106" s="15"/>
      <c r="T106" s="15"/>
      <c r="U106" s="15"/>
      <c r="V106" s="15"/>
    </row>
    <row r="107" spans="1:22" x14ac:dyDescent="0.25">
      <c r="A107">
        <v>92</v>
      </c>
      <c r="B107" s="1" t="s">
        <v>270</v>
      </c>
      <c r="C107" t="s">
        <v>1029</v>
      </c>
      <c r="D107" s="2">
        <f>11194+3534</f>
        <v>14728</v>
      </c>
      <c r="E107" s="2"/>
      <c r="J107">
        <f t="shared" si="2"/>
        <v>14728</v>
      </c>
      <c r="K107" s="5">
        <f t="shared" si="3"/>
        <v>3.2443484993335185E-4</v>
      </c>
      <c r="L107" s="18" t="s">
        <v>1152</v>
      </c>
      <c r="M107" s="18"/>
      <c r="N107" s="20" t="s">
        <v>1421</v>
      </c>
      <c r="O107" s="18"/>
      <c r="P107" s="18"/>
      <c r="Q107" s="18"/>
      <c r="R107" s="38"/>
      <c r="S107" s="38"/>
      <c r="T107" s="38"/>
      <c r="U107" s="38"/>
      <c r="V107" s="15"/>
    </row>
    <row r="108" spans="1:22" x14ac:dyDescent="0.25">
      <c r="A108">
        <v>93</v>
      </c>
      <c r="B108" s="1" t="s">
        <v>90</v>
      </c>
      <c r="C108" t="s">
        <v>90</v>
      </c>
      <c r="D108" s="2">
        <v>14542</v>
      </c>
      <c r="E108" s="2"/>
      <c r="J108">
        <f t="shared" si="2"/>
        <v>14542</v>
      </c>
      <c r="K108" s="5">
        <f t="shared" si="3"/>
        <v>3.203375602750409E-4</v>
      </c>
      <c r="L108" s="18" t="s">
        <v>1153</v>
      </c>
      <c r="M108" s="18"/>
      <c r="N108" s="18" t="s">
        <v>1429</v>
      </c>
      <c r="O108" s="18"/>
      <c r="P108" s="18"/>
      <c r="Q108" s="18"/>
      <c r="R108" s="15"/>
      <c r="S108" s="15"/>
      <c r="T108" s="15"/>
      <c r="U108" s="15"/>
      <c r="V108" s="15"/>
    </row>
    <row r="109" spans="1:22" x14ac:dyDescent="0.25">
      <c r="A109">
        <v>94</v>
      </c>
      <c r="B109" s="1" t="s">
        <v>279</v>
      </c>
      <c r="C109" t="s">
        <v>1028</v>
      </c>
      <c r="D109" s="2">
        <f>11406+2844</f>
        <v>14250</v>
      </c>
      <c r="E109" s="2"/>
      <c r="J109">
        <f t="shared" si="2"/>
        <v>14250</v>
      </c>
      <c r="K109" s="5">
        <f t="shared" si="3"/>
        <v>3.1390525608027321E-4</v>
      </c>
      <c r="L109" s="18" t="s">
        <v>1154</v>
      </c>
      <c r="M109" s="18"/>
      <c r="N109" s="18" t="s">
        <v>1398</v>
      </c>
      <c r="O109" s="18"/>
      <c r="P109" s="18"/>
      <c r="Q109" s="18"/>
      <c r="R109" s="15"/>
      <c r="S109" s="15"/>
      <c r="T109" s="15"/>
      <c r="U109" s="15"/>
      <c r="V109" s="15"/>
    </row>
    <row r="110" spans="1:22" x14ac:dyDescent="0.25">
      <c r="A110">
        <v>95</v>
      </c>
      <c r="B110" s="1" t="s">
        <v>256</v>
      </c>
      <c r="C110" t="s">
        <v>760</v>
      </c>
      <c r="D110">
        <f>3604+10630</f>
        <v>14234</v>
      </c>
      <c r="H110" s="2"/>
      <c r="J110">
        <f t="shared" si="2"/>
        <v>14234</v>
      </c>
      <c r="K110" s="5">
        <f t="shared" si="3"/>
        <v>3.1355280105590237E-4</v>
      </c>
      <c r="L110" s="18" t="s">
        <v>1155</v>
      </c>
      <c r="M110" s="18"/>
      <c r="N110" s="18" t="s">
        <v>1298</v>
      </c>
      <c r="O110" s="18"/>
      <c r="P110" s="18"/>
      <c r="Q110" s="18"/>
      <c r="R110" s="15"/>
      <c r="S110" s="15"/>
      <c r="T110" s="15"/>
      <c r="U110" s="15"/>
      <c r="V110" s="15"/>
    </row>
    <row r="111" spans="1:22" x14ac:dyDescent="0.25">
      <c r="A111">
        <v>96</v>
      </c>
      <c r="B111" t="s">
        <v>951</v>
      </c>
      <c r="C111" t="s">
        <v>950</v>
      </c>
      <c r="F111">
        <v>13720</v>
      </c>
      <c r="J111">
        <f t="shared" si="2"/>
        <v>13720</v>
      </c>
      <c r="K111" s="5">
        <f t="shared" si="3"/>
        <v>3.0223018339798935E-4</v>
      </c>
      <c r="L111" s="18" t="s">
        <v>1156</v>
      </c>
      <c r="M111" s="18"/>
      <c r="N111" s="18" t="s">
        <v>1317</v>
      </c>
      <c r="O111" s="18"/>
      <c r="P111" s="18"/>
      <c r="Q111" s="18"/>
      <c r="R111" s="15"/>
      <c r="S111" s="15"/>
      <c r="T111" s="15"/>
      <c r="U111" s="15"/>
      <c r="V111" s="15"/>
    </row>
    <row r="112" spans="1:22" x14ac:dyDescent="0.25">
      <c r="A112">
        <v>97</v>
      </c>
      <c r="B112" s="1" t="s">
        <v>317</v>
      </c>
      <c r="C112" t="s">
        <v>1017</v>
      </c>
      <c r="D112" s="2">
        <v>13585</v>
      </c>
      <c r="E112" s="2"/>
      <c r="J112">
        <f t="shared" si="2"/>
        <v>13585</v>
      </c>
      <c r="K112" s="5">
        <f t="shared" si="3"/>
        <v>2.9925634412986048E-4</v>
      </c>
      <c r="L112" s="18" t="s">
        <v>1157</v>
      </c>
      <c r="M112" s="18"/>
      <c r="N112" s="18" t="s">
        <v>1325</v>
      </c>
      <c r="O112" s="18"/>
      <c r="P112" s="18"/>
      <c r="Q112" s="18"/>
      <c r="R112" s="15"/>
      <c r="S112" s="15"/>
      <c r="T112" s="15"/>
      <c r="U112" s="15"/>
      <c r="V112" s="15"/>
    </row>
    <row r="113" spans="1:22" x14ac:dyDescent="0.25">
      <c r="A113">
        <v>98</v>
      </c>
      <c r="B113" s="1" t="s">
        <v>96</v>
      </c>
      <c r="C113" t="s">
        <v>1030</v>
      </c>
      <c r="D113" s="2">
        <f>11110+2413</f>
        <v>13523</v>
      </c>
      <c r="E113" s="2"/>
      <c r="J113">
        <f t="shared" si="2"/>
        <v>13523</v>
      </c>
      <c r="K113" s="5">
        <f t="shared" si="3"/>
        <v>2.9789058091042348E-4</v>
      </c>
      <c r="L113" s="18" t="s">
        <v>1158</v>
      </c>
      <c r="M113" s="18"/>
      <c r="N113" s="18" t="s">
        <v>1366</v>
      </c>
      <c r="O113" s="18"/>
      <c r="P113" s="18"/>
      <c r="Q113" s="18"/>
      <c r="R113" s="15"/>
      <c r="S113" s="15"/>
      <c r="T113" s="15"/>
      <c r="U113" s="15"/>
      <c r="V113" s="15"/>
    </row>
    <row r="114" spans="1:22" x14ac:dyDescent="0.25">
      <c r="A114">
        <v>99</v>
      </c>
      <c r="B114" s="1" t="s">
        <v>273</v>
      </c>
      <c r="C114" t="s">
        <v>1036</v>
      </c>
      <c r="D114" s="2">
        <v>9481</v>
      </c>
      <c r="E114" s="2"/>
      <c r="H114">
        <v>3714</v>
      </c>
      <c r="J114">
        <f t="shared" si="2"/>
        <v>13195</v>
      </c>
      <c r="K114" s="5">
        <f t="shared" si="3"/>
        <v>2.9066525291082142E-4</v>
      </c>
      <c r="L114" s="18" t="s">
        <v>1159</v>
      </c>
      <c r="M114" s="18"/>
      <c r="N114" s="18" t="s">
        <v>1300</v>
      </c>
      <c r="O114" s="18"/>
      <c r="P114" s="18"/>
      <c r="Q114" s="18"/>
      <c r="R114" s="15"/>
      <c r="S114" s="15"/>
      <c r="T114" s="15"/>
      <c r="U114" s="15"/>
      <c r="V114" s="15"/>
    </row>
    <row r="115" spans="1:22" x14ac:dyDescent="0.25">
      <c r="A115">
        <v>100</v>
      </c>
      <c r="B115" s="10" t="s">
        <v>973</v>
      </c>
      <c r="C115" s="1" t="s">
        <v>138</v>
      </c>
      <c r="D115" s="2">
        <v>0</v>
      </c>
      <c r="E115" s="2"/>
      <c r="H115" s="2">
        <v>12917</v>
      </c>
      <c r="J115">
        <f t="shared" si="2"/>
        <v>12917</v>
      </c>
      <c r="K115" s="5">
        <f t="shared" si="3"/>
        <v>2.845413468623782E-4</v>
      </c>
      <c r="L115" s="21" t="s">
        <v>1217</v>
      </c>
      <c r="M115" s="18"/>
      <c r="N115" s="18" t="s">
        <v>1466</v>
      </c>
      <c r="O115" s="18"/>
      <c r="P115" s="18"/>
      <c r="Q115" s="18"/>
      <c r="R115" s="15"/>
      <c r="S115" s="15"/>
      <c r="T115" s="15"/>
      <c r="U115" s="15"/>
      <c r="V115" s="15"/>
    </row>
    <row r="116" spans="1:22" x14ac:dyDescent="0.25">
      <c r="A116">
        <v>101</v>
      </c>
      <c r="B116" s="1" t="s">
        <v>772</v>
      </c>
      <c r="C116" t="s">
        <v>1020</v>
      </c>
      <c r="D116" s="2">
        <v>12917</v>
      </c>
      <c r="E116" s="2"/>
      <c r="J116">
        <f t="shared" si="2"/>
        <v>12917</v>
      </c>
      <c r="K116" s="5">
        <f t="shared" si="3"/>
        <v>2.845413468623782E-4</v>
      </c>
      <c r="L116" s="18" t="s">
        <v>1160</v>
      </c>
      <c r="M116" s="18"/>
      <c r="N116" s="21" t="s">
        <v>1376</v>
      </c>
      <c r="O116" s="18"/>
      <c r="P116" s="18"/>
      <c r="Q116" s="18"/>
      <c r="R116" s="15"/>
      <c r="S116" s="15"/>
      <c r="T116" s="15"/>
      <c r="U116" s="15"/>
      <c r="V116" s="15"/>
    </row>
    <row r="117" spans="1:22" x14ac:dyDescent="0.25">
      <c r="A117">
        <v>102</v>
      </c>
      <c r="B117" s="1" t="s">
        <v>108</v>
      </c>
      <c r="C117" t="s">
        <v>1040</v>
      </c>
      <c r="D117" s="2">
        <v>9234</v>
      </c>
      <c r="E117" s="2"/>
      <c r="F117">
        <v>3603</v>
      </c>
      <c r="J117">
        <f t="shared" si="2"/>
        <v>12837</v>
      </c>
      <c r="K117" s="5">
        <f t="shared" si="3"/>
        <v>2.8277907174052404E-4</v>
      </c>
      <c r="L117" s="18" t="s">
        <v>1161</v>
      </c>
      <c r="M117" s="18"/>
      <c r="N117" s="18" t="s">
        <v>1354</v>
      </c>
      <c r="O117" s="18"/>
      <c r="P117" s="18"/>
      <c r="Q117" s="18"/>
      <c r="R117" s="15"/>
      <c r="S117" s="15"/>
      <c r="T117" s="15"/>
      <c r="U117" s="15"/>
      <c r="V117" s="15"/>
    </row>
    <row r="118" spans="1:22" x14ac:dyDescent="0.25">
      <c r="A118">
        <v>103</v>
      </c>
      <c r="B118" s="1" t="s">
        <v>92</v>
      </c>
      <c r="C118" t="s">
        <v>92</v>
      </c>
      <c r="D118" s="2">
        <v>12591</v>
      </c>
      <c r="E118" s="2"/>
      <c r="J118">
        <f t="shared" si="2"/>
        <v>12591</v>
      </c>
      <c r="K118" s="5">
        <f t="shared" si="3"/>
        <v>2.7736007574082246E-4</v>
      </c>
      <c r="L118" s="18" t="s">
        <v>1162</v>
      </c>
      <c r="M118" s="18"/>
      <c r="N118" s="18" t="s">
        <v>1411</v>
      </c>
      <c r="O118" s="18"/>
      <c r="P118" s="18"/>
      <c r="Q118" s="18"/>
      <c r="R118" s="38"/>
      <c r="S118" s="38"/>
      <c r="T118" s="38"/>
      <c r="U118" s="38"/>
      <c r="V118" s="15"/>
    </row>
    <row r="119" spans="1:22" x14ac:dyDescent="0.25">
      <c r="A119">
        <v>104</v>
      </c>
      <c r="B119" s="1" t="s">
        <v>286</v>
      </c>
      <c r="C119" t="s">
        <v>1038</v>
      </c>
      <c r="D119" s="2">
        <f>9341+3170</f>
        <v>12511</v>
      </c>
      <c r="E119" s="2"/>
      <c r="J119">
        <f t="shared" si="2"/>
        <v>12511</v>
      </c>
      <c r="K119" s="5">
        <f t="shared" si="3"/>
        <v>2.755978006189683E-4</v>
      </c>
      <c r="L119" s="18" t="s">
        <v>1163</v>
      </c>
      <c r="M119" s="18"/>
      <c r="N119" s="18" t="s">
        <v>1405</v>
      </c>
      <c r="O119" s="18"/>
      <c r="P119" s="18"/>
      <c r="Q119" s="18"/>
      <c r="R119" s="15"/>
      <c r="S119" s="15"/>
      <c r="T119" s="15"/>
      <c r="U119" s="15"/>
      <c r="V119" s="15"/>
    </row>
    <row r="120" spans="1:22" x14ac:dyDescent="0.25">
      <c r="A120">
        <v>105</v>
      </c>
      <c r="B120" s="1" t="s">
        <v>776</v>
      </c>
      <c r="C120" t="s">
        <v>1034</v>
      </c>
      <c r="D120" s="2">
        <f>9742+2576</f>
        <v>12318</v>
      </c>
      <c r="E120" s="2"/>
      <c r="J120">
        <f t="shared" si="2"/>
        <v>12318</v>
      </c>
      <c r="K120" s="5">
        <f t="shared" si="3"/>
        <v>2.7134631188749511E-4</v>
      </c>
      <c r="L120" s="18" t="s">
        <v>1164</v>
      </c>
      <c r="M120" s="18"/>
      <c r="N120" s="18" t="s">
        <v>1404</v>
      </c>
      <c r="O120" s="18"/>
      <c r="P120" s="18"/>
      <c r="Q120" s="18"/>
      <c r="R120" s="15"/>
      <c r="S120" s="15"/>
      <c r="T120" s="15"/>
      <c r="U120" s="15"/>
      <c r="V120" s="15"/>
    </row>
    <row r="121" spans="1:22" x14ac:dyDescent="0.25">
      <c r="A121">
        <v>106</v>
      </c>
      <c r="B121" s="1" t="s">
        <v>107</v>
      </c>
      <c r="C121" t="s">
        <v>1039</v>
      </c>
      <c r="D121" s="2">
        <f>9255+2991</f>
        <v>12246</v>
      </c>
      <c r="E121" s="2"/>
      <c r="J121">
        <f t="shared" si="2"/>
        <v>12246</v>
      </c>
      <c r="K121" s="5">
        <f t="shared" si="3"/>
        <v>2.6976026427782637E-4</v>
      </c>
      <c r="L121" s="18" t="s">
        <v>1165</v>
      </c>
      <c r="M121" s="18"/>
      <c r="N121" s="18" t="s">
        <v>1333</v>
      </c>
      <c r="O121" s="18"/>
      <c r="P121" s="18"/>
      <c r="Q121" s="18"/>
      <c r="R121" s="15"/>
      <c r="S121" s="15"/>
      <c r="T121" s="15"/>
      <c r="U121" s="15"/>
      <c r="V121" s="15"/>
    </row>
    <row r="122" spans="1:22" x14ac:dyDescent="0.25">
      <c r="A122">
        <v>107</v>
      </c>
      <c r="B122" s="1" t="s">
        <v>777</v>
      </c>
      <c r="C122" t="s">
        <v>1037</v>
      </c>
      <c r="D122" s="2">
        <f>9438+2623</f>
        <v>12061</v>
      </c>
      <c r="E122" s="2"/>
      <c r="J122">
        <f t="shared" si="2"/>
        <v>12061</v>
      </c>
      <c r="K122" s="5">
        <f t="shared" si="3"/>
        <v>2.656850030585386E-4</v>
      </c>
      <c r="L122" s="18" t="s">
        <v>1166</v>
      </c>
      <c r="M122" s="18"/>
      <c r="N122" s="18" t="s">
        <v>1438</v>
      </c>
      <c r="O122" s="18"/>
      <c r="P122" s="18"/>
      <c r="Q122" s="18"/>
      <c r="R122" s="38"/>
      <c r="S122" s="38"/>
      <c r="T122" s="38"/>
      <c r="U122" s="38"/>
      <c r="V122" s="15"/>
    </row>
    <row r="123" spans="1:22" x14ac:dyDescent="0.25">
      <c r="A123">
        <v>108</v>
      </c>
      <c r="B123" s="1" t="s">
        <v>276</v>
      </c>
      <c r="C123" t="s">
        <v>1023</v>
      </c>
      <c r="D123" s="2">
        <v>11833</v>
      </c>
      <c r="E123" s="2"/>
      <c r="H123" s="2"/>
      <c r="J123">
        <f t="shared" si="2"/>
        <v>11833</v>
      </c>
      <c r="K123" s="5">
        <f t="shared" si="3"/>
        <v>2.6066251896125422E-4</v>
      </c>
      <c r="L123" s="18" t="s">
        <v>1167</v>
      </c>
      <c r="M123" s="18"/>
      <c r="N123" s="21" t="s">
        <v>1397</v>
      </c>
      <c r="O123" s="18"/>
      <c r="P123" s="18"/>
      <c r="Q123" s="18"/>
      <c r="R123" s="15"/>
      <c r="S123" s="15"/>
      <c r="T123" s="15"/>
      <c r="U123" s="15"/>
      <c r="V123" s="15"/>
    </row>
    <row r="124" spans="1:22" x14ac:dyDescent="0.25">
      <c r="A124">
        <v>109</v>
      </c>
      <c r="B124" s="1" t="s">
        <v>780</v>
      </c>
      <c r="C124" t="s">
        <v>1045</v>
      </c>
      <c r="D124" s="2">
        <f>7749+3882</f>
        <v>11631</v>
      </c>
      <c r="E124" s="2"/>
      <c r="J124">
        <f t="shared" si="2"/>
        <v>11631</v>
      </c>
      <c r="K124" s="5">
        <f t="shared" si="3"/>
        <v>2.5621277427857248E-4</v>
      </c>
      <c r="L124" s="18" t="s">
        <v>1168</v>
      </c>
      <c r="M124" s="18"/>
      <c r="N124" s="18" t="s">
        <v>1395</v>
      </c>
      <c r="O124" s="18"/>
      <c r="P124" s="18"/>
      <c r="Q124" s="18"/>
      <c r="R124" s="15"/>
      <c r="S124" s="15"/>
      <c r="T124" s="15"/>
      <c r="U124" s="15"/>
      <c r="V124" s="15"/>
    </row>
    <row r="125" spans="1:22" x14ac:dyDescent="0.25">
      <c r="A125">
        <v>110</v>
      </c>
      <c r="B125" s="1" t="s">
        <v>93</v>
      </c>
      <c r="C125" t="s">
        <v>93</v>
      </c>
      <c r="D125" s="2">
        <v>11618</v>
      </c>
      <c r="E125" s="2"/>
      <c r="J125">
        <f t="shared" si="2"/>
        <v>11618</v>
      </c>
      <c r="K125" s="5">
        <f t="shared" si="3"/>
        <v>2.5592640457127119E-4</v>
      </c>
      <c r="L125" s="18" t="s">
        <v>1169</v>
      </c>
      <c r="M125" s="18"/>
      <c r="N125" s="18" t="s">
        <v>1462</v>
      </c>
      <c r="O125" s="18"/>
      <c r="P125" s="18"/>
      <c r="Q125" s="18"/>
      <c r="R125" s="38"/>
      <c r="S125" s="38"/>
      <c r="T125" s="38"/>
      <c r="U125" s="38"/>
      <c r="V125" s="15"/>
    </row>
    <row r="126" spans="1:22" x14ac:dyDescent="0.25">
      <c r="A126">
        <v>111</v>
      </c>
      <c r="B126" s="1" t="s">
        <v>94</v>
      </c>
      <c r="C126" t="s">
        <v>94</v>
      </c>
      <c r="D126" s="2">
        <v>11612</v>
      </c>
      <c r="E126" s="2"/>
      <c r="J126">
        <f t="shared" si="2"/>
        <v>11612</v>
      </c>
      <c r="K126" s="5">
        <f t="shared" si="3"/>
        <v>2.5579423393713209E-4</v>
      </c>
      <c r="L126" s="18" t="s">
        <v>1170</v>
      </c>
      <c r="M126" s="18"/>
      <c r="N126" s="18" t="s">
        <v>1342</v>
      </c>
      <c r="O126" s="18"/>
      <c r="P126" s="18"/>
      <c r="Q126" s="18"/>
      <c r="R126" s="15"/>
      <c r="S126" s="15"/>
      <c r="T126" s="15"/>
      <c r="U126" s="15"/>
      <c r="V126" s="15"/>
    </row>
    <row r="127" spans="1:22" x14ac:dyDescent="0.25">
      <c r="A127">
        <v>112</v>
      </c>
      <c r="B127" s="1" t="s">
        <v>289</v>
      </c>
      <c r="C127" t="s">
        <v>1027</v>
      </c>
      <c r="D127" s="2">
        <v>11558</v>
      </c>
      <c r="E127" s="2"/>
      <c r="J127">
        <f t="shared" si="2"/>
        <v>11558</v>
      </c>
      <c r="K127" s="5">
        <f t="shared" si="3"/>
        <v>2.5460469822988056E-4</v>
      </c>
      <c r="L127" s="18" t="s">
        <v>1171</v>
      </c>
      <c r="M127" s="18"/>
      <c r="N127" s="18" t="s">
        <v>1471</v>
      </c>
      <c r="O127" s="18"/>
      <c r="P127" s="18"/>
      <c r="Q127" s="18"/>
      <c r="R127" s="38"/>
      <c r="S127" s="38"/>
      <c r="T127" s="38"/>
      <c r="U127" s="38"/>
      <c r="V127" s="15"/>
    </row>
    <row r="128" spans="1:22" x14ac:dyDescent="0.25">
      <c r="A128">
        <v>113</v>
      </c>
      <c r="B128" s="1" t="s">
        <v>137</v>
      </c>
      <c r="C128" s="1" t="s">
        <v>136</v>
      </c>
      <c r="D128" s="2">
        <v>0</v>
      </c>
      <c r="E128" s="2"/>
      <c r="F128" s="2">
        <v>10736</v>
      </c>
      <c r="J128">
        <f t="shared" si="2"/>
        <v>10736</v>
      </c>
      <c r="K128" s="5">
        <f t="shared" si="3"/>
        <v>2.3649732135282901E-4</v>
      </c>
      <c r="L128" s="18" t="s">
        <v>1172</v>
      </c>
      <c r="M128" s="18"/>
      <c r="N128" s="21" t="s">
        <v>1453</v>
      </c>
      <c r="O128" s="18"/>
      <c r="P128" s="18"/>
      <c r="Q128" s="18"/>
      <c r="R128" s="38"/>
      <c r="S128" s="38"/>
      <c r="T128" s="38"/>
      <c r="U128" s="38"/>
      <c r="V128" s="15"/>
    </row>
    <row r="129" spans="1:22" x14ac:dyDescent="0.25">
      <c r="A129">
        <v>114</v>
      </c>
      <c r="B129" t="s">
        <v>778</v>
      </c>
      <c r="C129" t="s">
        <v>976</v>
      </c>
      <c r="D129" s="2">
        <f>8314+2398</f>
        <v>10712</v>
      </c>
      <c r="E129" s="2"/>
      <c r="J129">
        <f t="shared" si="2"/>
        <v>10712</v>
      </c>
      <c r="K129" s="5">
        <f t="shared" si="3"/>
        <v>2.3596863881627275E-4</v>
      </c>
      <c r="L129" s="21" t="s">
        <v>1296</v>
      </c>
      <c r="M129" s="18"/>
      <c r="N129" s="21" t="s">
        <v>1476</v>
      </c>
      <c r="O129" s="18"/>
      <c r="P129" s="18"/>
      <c r="Q129" s="18"/>
      <c r="R129" s="38"/>
      <c r="S129" s="38"/>
      <c r="T129" s="38"/>
      <c r="U129" s="38"/>
      <c r="V129" s="15"/>
    </row>
    <row r="130" spans="1:22" x14ac:dyDescent="0.25">
      <c r="A130">
        <v>115</v>
      </c>
      <c r="B130" s="1" t="s">
        <v>97</v>
      </c>
      <c r="C130" t="s">
        <v>97</v>
      </c>
      <c r="D130" s="2">
        <v>10686</v>
      </c>
      <c r="E130" s="2"/>
      <c r="J130">
        <f t="shared" si="2"/>
        <v>10686</v>
      </c>
      <c r="K130" s="5">
        <f t="shared" si="3"/>
        <v>2.3539589940167014E-4</v>
      </c>
      <c r="L130" s="18" t="s">
        <v>1173</v>
      </c>
      <c r="M130" s="18"/>
      <c r="N130" s="18" t="s">
        <v>1307</v>
      </c>
      <c r="O130" s="18"/>
      <c r="P130" s="18"/>
      <c r="Q130" s="18"/>
      <c r="R130" s="15"/>
      <c r="S130" s="15"/>
      <c r="T130" s="15"/>
      <c r="U130" s="15"/>
      <c r="V130" s="15"/>
    </row>
    <row r="131" spans="1:22" x14ac:dyDescent="0.25">
      <c r="A131">
        <v>116</v>
      </c>
      <c r="B131" s="1" t="s">
        <v>99</v>
      </c>
      <c r="C131" t="s">
        <v>99</v>
      </c>
      <c r="D131" s="2">
        <v>10658</v>
      </c>
      <c r="E131" s="2"/>
      <c r="J131">
        <f t="shared" si="2"/>
        <v>10658</v>
      </c>
      <c r="K131" s="5">
        <f t="shared" si="3"/>
        <v>2.347791031090212E-4</v>
      </c>
      <c r="L131" s="18" t="s">
        <v>1174</v>
      </c>
      <c r="M131" s="18"/>
      <c r="N131" s="20" t="s">
        <v>1331</v>
      </c>
      <c r="O131" s="18"/>
      <c r="P131" s="18"/>
      <c r="Q131" s="18"/>
      <c r="R131" s="15"/>
      <c r="S131" s="15"/>
      <c r="T131" s="15"/>
      <c r="U131" s="15"/>
      <c r="V131" s="15"/>
    </row>
    <row r="132" spans="1:22" x14ac:dyDescent="0.25">
      <c r="A132">
        <v>117</v>
      </c>
      <c r="B132" s="1" t="s">
        <v>774</v>
      </c>
      <c r="C132" t="s">
        <v>1032</v>
      </c>
      <c r="D132" s="2">
        <v>10550</v>
      </c>
      <c r="E132" s="2"/>
      <c r="J132">
        <f t="shared" si="2"/>
        <v>10550</v>
      </c>
      <c r="K132" s="5">
        <f t="shared" si="3"/>
        <v>2.3240003169451806E-4</v>
      </c>
      <c r="L132" s="18" t="s">
        <v>1175</v>
      </c>
      <c r="M132" s="18"/>
      <c r="N132" s="18" t="s">
        <v>1435</v>
      </c>
      <c r="O132" s="18"/>
      <c r="P132" s="18"/>
      <c r="Q132" s="18"/>
      <c r="R132" s="38"/>
      <c r="S132" s="38"/>
      <c r="T132" s="38"/>
      <c r="U132" s="38"/>
      <c r="V132" s="15"/>
    </row>
    <row r="133" spans="1:22" x14ac:dyDescent="0.25">
      <c r="A133">
        <v>118</v>
      </c>
      <c r="B133" s="1" t="s">
        <v>100</v>
      </c>
      <c r="C133" t="s">
        <v>100</v>
      </c>
      <c r="D133" s="2">
        <v>10266</v>
      </c>
      <c r="E133" s="2"/>
      <c r="J133">
        <f t="shared" si="2"/>
        <v>10266</v>
      </c>
      <c r="K133" s="5">
        <f t="shared" si="3"/>
        <v>2.2614395501193579E-4</v>
      </c>
      <c r="L133" s="18" t="s">
        <v>1176</v>
      </c>
      <c r="M133" s="18"/>
      <c r="N133" s="18" t="s">
        <v>1442</v>
      </c>
      <c r="O133" s="18"/>
      <c r="P133" s="18"/>
      <c r="Q133" s="18"/>
      <c r="R133" s="38"/>
      <c r="S133" s="38"/>
      <c r="T133" s="38"/>
      <c r="U133" s="38"/>
      <c r="V133" s="15"/>
    </row>
    <row r="134" spans="1:22" x14ac:dyDescent="0.25">
      <c r="A134">
        <v>119</v>
      </c>
      <c r="B134" s="1" t="s">
        <v>101</v>
      </c>
      <c r="C134" t="s">
        <v>101</v>
      </c>
      <c r="D134" s="2">
        <v>10207</v>
      </c>
      <c r="E134" s="2"/>
      <c r="J134">
        <f t="shared" si="2"/>
        <v>10207</v>
      </c>
      <c r="K134" s="5">
        <f t="shared" si="3"/>
        <v>2.2484427710956834E-4</v>
      </c>
      <c r="L134" s="18" t="s">
        <v>1177</v>
      </c>
      <c r="M134" s="18"/>
      <c r="N134" s="20" t="s">
        <v>1469</v>
      </c>
      <c r="O134" s="18"/>
      <c r="P134" s="18"/>
      <c r="Q134" s="18"/>
      <c r="R134" s="38"/>
      <c r="S134" s="38"/>
      <c r="T134" s="38"/>
      <c r="U134" s="38"/>
      <c r="V134" s="15"/>
    </row>
    <row r="135" spans="1:22" x14ac:dyDescent="0.25">
      <c r="A135">
        <v>120</v>
      </c>
      <c r="B135" s="1" t="s">
        <v>775</v>
      </c>
      <c r="C135" t="s">
        <v>1033</v>
      </c>
      <c r="D135" s="2">
        <v>10123</v>
      </c>
      <c r="E135" s="2"/>
      <c r="J135">
        <f t="shared" si="2"/>
        <v>10123</v>
      </c>
      <c r="K135" s="5">
        <f t="shared" si="3"/>
        <v>2.2299388823162147E-4</v>
      </c>
      <c r="L135" s="18" t="s">
        <v>1178</v>
      </c>
      <c r="M135" s="18"/>
      <c r="N135" s="18" t="s">
        <v>1329</v>
      </c>
      <c r="O135" s="18"/>
      <c r="P135" s="18"/>
      <c r="Q135" s="18"/>
      <c r="R135" s="15"/>
      <c r="S135" s="15"/>
      <c r="T135" s="15"/>
      <c r="U135" s="15"/>
      <c r="V135" s="15"/>
    </row>
    <row r="136" spans="1:22" x14ac:dyDescent="0.25">
      <c r="A136">
        <v>121</v>
      </c>
      <c r="B136" s="1" t="s">
        <v>102</v>
      </c>
      <c r="C136" t="s">
        <v>102</v>
      </c>
      <c r="D136" s="2">
        <v>9875</v>
      </c>
      <c r="E136" s="2"/>
      <c r="J136">
        <f t="shared" si="2"/>
        <v>9875</v>
      </c>
      <c r="K136" s="5">
        <f t="shared" si="3"/>
        <v>2.1753083535387354E-4</v>
      </c>
      <c r="L136" s="18" t="s">
        <v>1179</v>
      </c>
      <c r="M136" s="18"/>
      <c r="N136" s="18" t="s">
        <v>1350</v>
      </c>
      <c r="O136" s="18"/>
      <c r="P136" s="18"/>
      <c r="Q136" s="18"/>
      <c r="R136" s="15"/>
      <c r="S136" s="15"/>
      <c r="T136" s="15"/>
      <c r="U136" s="15"/>
      <c r="V136" s="15"/>
    </row>
    <row r="137" spans="1:22" x14ac:dyDescent="0.25">
      <c r="A137">
        <v>122</v>
      </c>
      <c r="B137" s="1" t="s">
        <v>103</v>
      </c>
      <c r="C137" t="s">
        <v>103</v>
      </c>
      <c r="D137" s="2">
        <v>9819</v>
      </c>
      <c r="E137" s="2"/>
      <c r="J137">
        <f t="shared" si="2"/>
        <v>9819</v>
      </c>
      <c r="K137" s="5">
        <f t="shared" si="3"/>
        <v>2.1629724276857562E-4</v>
      </c>
      <c r="L137" s="18" t="s">
        <v>1180</v>
      </c>
      <c r="M137" s="18"/>
      <c r="N137" s="18" t="s">
        <v>1339</v>
      </c>
      <c r="O137" s="18"/>
      <c r="P137" s="18"/>
      <c r="Q137" s="18"/>
      <c r="R137" s="15"/>
      <c r="S137" s="15"/>
      <c r="T137" s="15"/>
      <c r="U137" s="15"/>
      <c r="V137" s="15"/>
    </row>
    <row r="138" spans="1:22" x14ac:dyDescent="0.25">
      <c r="A138">
        <v>123</v>
      </c>
      <c r="B138" s="1" t="s">
        <v>104</v>
      </c>
      <c r="C138" t="s">
        <v>104</v>
      </c>
      <c r="D138" s="2">
        <v>9771</v>
      </c>
      <c r="E138" s="2"/>
      <c r="J138">
        <f t="shared" si="2"/>
        <v>9771</v>
      </c>
      <c r="K138" s="5">
        <f t="shared" si="3"/>
        <v>2.1523987769546312E-4</v>
      </c>
      <c r="L138" s="18" t="s">
        <v>1181</v>
      </c>
      <c r="M138" s="18"/>
      <c r="N138" s="20" t="s">
        <v>1383</v>
      </c>
      <c r="O138" s="18"/>
      <c r="P138" s="18"/>
      <c r="Q138" s="18"/>
      <c r="R138" s="15"/>
      <c r="S138" s="15"/>
      <c r="T138" s="15"/>
      <c r="U138" s="15"/>
      <c r="V138" s="15"/>
    </row>
    <row r="139" spans="1:22" x14ac:dyDescent="0.25">
      <c r="A139">
        <v>124</v>
      </c>
      <c r="B139" s="1" t="s">
        <v>105</v>
      </c>
      <c r="C139" t="s">
        <v>105</v>
      </c>
      <c r="D139" s="2">
        <v>9728</v>
      </c>
      <c r="E139" s="2"/>
      <c r="J139">
        <f t="shared" si="2"/>
        <v>9728</v>
      </c>
      <c r="K139" s="5">
        <f t="shared" si="3"/>
        <v>2.1429265481746651E-4</v>
      </c>
      <c r="L139" s="18" t="s">
        <v>1182</v>
      </c>
      <c r="M139" s="18"/>
      <c r="N139" s="18" t="s">
        <v>1402</v>
      </c>
      <c r="O139" s="18"/>
      <c r="P139" s="18"/>
      <c r="Q139" s="18"/>
      <c r="R139" s="15"/>
      <c r="S139" s="15"/>
      <c r="T139" s="15"/>
      <c r="U139" s="15"/>
      <c r="V139" s="15"/>
    </row>
    <row r="140" spans="1:22" x14ac:dyDescent="0.25">
      <c r="A140">
        <v>125</v>
      </c>
      <c r="B140" s="1" t="s">
        <v>290</v>
      </c>
      <c r="C140" t="s">
        <v>1035</v>
      </c>
      <c r="D140" s="2">
        <v>9553</v>
      </c>
      <c r="E140" s="2"/>
      <c r="J140">
        <f t="shared" si="2"/>
        <v>9553</v>
      </c>
      <c r="K140" s="5">
        <f t="shared" si="3"/>
        <v>2.1043767798841054E-4</v>
      </c>
      <c r="L140" s="18" t="s">
        <v>1183</v>
      </c>
      <c r="M140" s="18"/>
      <c r="N140" s="18" t="s">
        <v>1374</v>
      </c>
      <c r="O140" s="18"/>
      <c r="P140" s="18"/>
      <c r="Q140" s="18"/>
      <c r="R140" s="15"/>
      <c r="S140" s="15"/>
      <c r="T140" s="15"/>
      <c r="U140" s="15"/>
      <c r="V140" s="15"/>
    </row>
    <row r="141" spans="1:22" x14ac:dyDescent="0.25">
      <c r="A141">
        <v>126</v>
      </c>
      <c r="B141" s="1" t="s">
        <v>106</v>
      </c>
      <c r="C141" t="s">
        <v>106</v>
      </c>
      <c r="D141" s="2">
        <v>9423</v>
      </c>
      <c r="E141" s="2"/>
      <c r="J141">
        <f t="shared" si="2"/>
        <v>9423</v>
      </c>
      <c r="K141" s="5">
        <f t="shared" si="3"/>
        <v>2.0757398091539751E-4</v>
      </c>
      <c r="L141" s="18" t="s">
        <v>1184</v>
      </c>
      <c r="M141" s="18"/>
      <c r="N141" s="18" t="s">
        <v>1385</v>
      </c>
      <c r="O141" s="18"/>
      <c r="P141" s="18"/>
      <c r="Q141" s="18"/>
      <c r="R141" s="15"/>
      <c r="S141" s="15"/>
      <c r="T141" s="15"/>
      <c r="U141" s="15"/>
      <c r="V141" s="15"/>
    </row>
    <row r="142" spans="1:22" x14ac:dyDescent="0.25">
      <c r="A142">
        <v>127</v>
      </c>
      <c r="B142" s="1" t="s">
        <v>109</v>
      </c>
      <c r="C142" t="s">
        <v>109</v>
      </c>
      <c r="D142" s="2">
        <v>8799</v>
      </c>
      <c r="E142" s="2"/>
      <c r="J142">
        <f t="shared" si="2"/>
        <v>8799</v>
      </c>
      <c r="K142" s="5">
        <f t="shared" si="3"/>
        <v>1.9382823496493502E-4</v>
      </c>
      <c r="L142" s="18" t="s">
        <v>1185</v>
      </c>
      <c r="M142" s="18"/>
      <c r="N142" s="18" t="s">
        <v>1362</v>
      </c>
      <c r="O142" s="18"/>
      <c r="P142" s="18"/>
      <c r="Q142" s="18"/>
      <c r="R142" s="15"/>
      <c r="S142" s="15"/>
      <c r="T142" s="15"/>
      <c r="U142" s="15"/>
      <c r="V142" s="15"/>
    </row>
    <row r="143" spans="1:22" x14ac:dyDescent="0.25">
      <c r="A143">
        <v>128</v>
      </c>
      <c r="B143" t="s">
        <v>954</v>
      </c>
      <c r="C143" t="s">
        <v>1042</v>
      </c>
      <c r="D143" s="2">
        <v>0</v>
      </c>
      <c r="F143">
        <v>5981</v>
      </c>
      <c r="G143">
        <v>2814</v>
      </c>
      <c r="J143">
        <f t="shared" si="2"/>
        <v>8795</v>
      </c>
      <c r="K143" s="5">
        <f t="shared" si="3"/>
        <v>1.937401212088423E-4</v>
      </c>
      <c r="L143" s="18" t="s">
        <v>1186</v>
      </c>
      <c r="M143" s="18"/>
      <c r="N143" s="18" t="s">
        <v>1361</v>
      </c>
      <c r="O143" s="18"/>
      <c r="P143" s="18"/>
      <c r="Q143" s="18"/>
      <c r="R143" s="15"/>
      <c r="S143" s="15"/>
      <c r="T143" s="15"/>
      <c r="U143" s="15"/>
      <c r="V143" s="15"/>
    </row>
    <row r="144" spans="1:22" x14ac:dyDescent="0.25">
      <c r="A144">
        <v>129</v>
      </c>
      <c r="B144" s="1" t="s">
        <v>307</v>
      </c>
      <c r="C144" t="s">
        <v>1041</v>
      </c>
      <c r="D144" s="2">
        <v>8638</v>
      </c>
      <c r="E144" s="2"/>
      <c r="J144">
        <f t="shared" ref="J144:J207" si="4">SUM(D144:I144)</f>
        <v>8638</v>
      </c>
      <c r="K144" s="5">
        <f t="shared" ref="K144:K207" si="5">J144/J$13</f>
        <v>1.9028165628220351E-4</v>
      </c>
      <c r="L144" s="18" t="s">
        <v>1187</v>
      </c>
      <c r="M144" s="18"/>
      <c r="N144" s="18" t="s">
        <v>1381</v>
      </c>
      <c r="O144" s="18"/>
      <c r="P144" s="18"/>
      <c r="Q144" s="18"/>
      <c r="R144" s="15"/>
      <c r="S144" s="15"/>
      <c r="T144" s="15"/>
      <c r="U144" s="15"/>
      <c r="V144" s="15"/>
    </row>
    <row r="145" spans="1:22" x14ac:dyDescent="0.25">
      <c r="A145">
        <v>130</v>
      </c>
      <c r="B145" s="1" t="s">
        <v>111</v>
      </c>
      <c r="C145" t="s">
        <v>111</v>
      </c>
      <c r="D145" s="2">
        <v>8510</v>
      </c>
      <c r="E145" s="2"/>
      <c r="J145">
        <f t="shared" si="4"/>
        <v>8510</v>
      </c>
      <c r="K145" s="5">
        <f t="shared" si="5"/>
        <v>1.8746201608723685E-4</v>
      </c>
      <c r="L145" s="18" t="s">
        <v>1188</v>
      </c>
      <c r="M145" s="18"/>
      <c r="N145" s="18" t="s">
        <v>1401</v>
      </c>
      <c r="O145" s="18"/>
      <c r="P145" s="18"/>
      <c r="Q145" s="18"/>
      <c r="R145" s="15"/>
      <c r="S145" s="15"/>
      <c r="T145" s="15"/>
      <c r="U145" s="15"/>
      <c r="V145" s="15"/>
    </row>
    <row r="146" spans="1:22" x14ac:dyDescent="0.25">
      <c r="A146">
        <v>131</v>
      </c>
      <c r="B146" t="s">
        <v>786</v>
      </c>
      <c r="C146" t="s">
        <v>974</v>
      </c>
      <c r="D146">
        <f>5577+2791</f>
        <v>8368</v>
      </c>
      <c r="J146">
        <f t="shared" si="4"/>
        <v>8368</v>
      </c>
      <c r="K146" s="5">
        <f t="shared" si="5"/>
        <v>1.8433397774594572E-4</v>
      </c>
      <c r="L146" s="18" t="s">
        <v>1189</v>
      </c>
      <c r="M146" s="18"/>
      <c r="N146" s="18" t="s">
        <v>1368</v>
      </c>
      <c r="O146" s="18"/>
      <c r="P146" s="18"/>
      <c r="Q146" s="18"/>
      <c r="R146" s="15"/>
      <c r="S146" s="15"/>
      <c r="T146" s="15"/>
      <c r="U146" s="15"/>
      <c r="V146" s="15"/>
    </row>
    <row r="147" spans="1:22" x14ac:dyDescent="0.25">
      <c r="A147">
        <v>132</v>
      </c>
      <c r="B147" s="1" t="s">
        <v>112</v>
      </c>
      <c r="C147" t="s">
        <v>112</v>
      </c>
      <c r="D147" s="2">
        <v>8220</v>
      </c>
      <c r="E147" s="2"/>
      <c r="J147">
        <f t="shared" si="4"/>
        <v>8220</v>
      </c>
      <c r="K147" s="5">
        <f t="shared" si="5"/>
        <v>1.810737687705155E-4</v>
      </c>
      <c r="L147" s="18" t="s">
        <v>1190</v>
      </c>
      <c r="M147" s="18"/>
      <c r="N147" s="20" t="s">
        <v>1440</v>
      </c>
      <c r="O147" s="18"/>
      <c r="P147" s="18"/>
      <c r="Q147" s="18"/>
      <c r="R147" s="15"/>
      <c r="S147" s="15"/>
      <c r="T147" s="15"/>
      <c r="U147" s="15"/>
      <c r="V147" s="15"/>
    </row>
    <row r="148" spans="1:22" x14ac:dyDescent="0.25">
      <c r="A148">
        <v>133</v>
      </c>
      <c r="B148" s="1" t="s">
        <v>113</v>
      </c>
      <c r="C148" t="s">
        <v>113</v>
      </c>
      <c r="D148" s="2">
        <v>8111</v>
      </c>
      <c r="E148" s="2"/>
      <c r="J148">
        <f t="shared" si="4"/>
        <v>8111</v>
      </c>
      <c r="K148" s="5">
        <f t="shared" si="5"/>
        <v>1.7867266891698921E-4</v>
      </c>
      <c r="L148" s="18" t="s">
        <v>1191</v>
      </c>
      <c r="M148" s="18"/>
      <c r="N148" s="18" t="s">
        <v>1359</v>
      </c>
      <c r="O148" s="18"/>
      <c r="P148" s="18"/>
      <c r="Q148" s="18"/>
      <c r="R148" s="15"/>
      <c r="S148" s="15"/>
      <c r="T148" s="15"/>
      <c r="U148" s="15"/>
      <c r="V148" s="15"/>
    </row>
    <row r="149" spans="1:22" x14ac:dyDescent="0.25">
      <c r="A149">
        <v>134</v>
      </c>
      <c r="B149" s="1" t="s">
        <v>624</v>
      </c>
      <c r="C149" t="s">
        <v>761</v>
      </c>
      <c r="D149">
        <v>4959</v>
      </c>
      <c r="F149">
        <v>2971</v>
      </c>
      <c r="J149">
        <f t="shared" si="4"/>
        <v>7930</v>
      </c>
      <c r="K149" s="5">
        <f t="shared" si="5"/>
        <v>1.7468552145379415E-4</v>
      </c>
      <c r="L149" s="20" t="s">
        <v>1192</v>
      </c>
      <c r="M149" s="20"/>
      <c r="N149" s="18" t="s">
        <v>1312</v>
      </c>
      <c r="O149" s="18"/>
      <c r="P149" s="18"/>
      <c r="Q149" s="18"/>
      <c r="R149" s="15"/>
      <c r="S149" s="15"/>
      <c r="T149" s="15"/>
      <c r="U149" s="15"/>
      <c r="V149" s="15"/>
    </row>
    <row r="150" spans="1:22" x14ac:dyDescent="0.25">
      <c r="A150">
        <v>135</v>
      </c>
      <c r="B150" s="1" t="s">
        <v>285</v>
      </c>
      <c r="C150" t="s">
        <v>1043</v>
      </c>
      <c r="D150" s="2">
        <v>7916</v>
      </c>
      <c r="E150" s="2"/>
      <c r="J150">
        <f t="shared" si="4"/>
        <v>7916</v>
      </c>
      <c r="K150" s="5">
        <f t="shared" si="5"/>
        <v>1.7437712330746968E-4</v>
      </c>
      <c r="L150" s="18" t="s">
        <v>1193</v>
      </c>
      <c r="M150" s="18"/>
      <c r="N150" s="20" t="s">
        <v>1351</v>
      </c>
      <c r="O150" s="18"/>
      <c r="P150" s="18"/>
      <c r="Q150" s="18"/>
      <c r="R150" s="15"/>
      <c r="S150" s="15"/>
      <c r="T150" s="15"/>
      <c r="U150" s="15"/>
      <c r="V150" s="15"/>
    </row>
    <row r="151" spans="1:22" x14ac:dyDescent="0.25">
      <c r="A151">
        <v>136</v>
      </c>
      <c r="B151" s="1" t="s">
        <v>114</v>
      </c>
      <c r="C151" t="s">
        <v>114</v>
      </c>
      <c r="D151" s="2">
        <v>7900</v>
      </c>
      <c r="E151" s="2"/>
      <c r="J151">
        <f t="shared" si="4"/>
        <v>7900</v>
      </c>
      <c r="K151" s="5">
        <f t="shared" si="5"/>
        <v>1.7402466828309883E-4</v>
      </c>
      <c r="L151" s="18" t="s">
        <v>1194</v>
      </c>
      <c r="M151" s="18"/>
      <c r="N151" s="18" t="s">
        <v>1377</v>
      </c>
      <c r="O151" s="18"/>
      <c r="P151" s="18"/>
      <c r="Q151" s="18"/>
      <c r="R151" s="15"/>
      <c r="S151" s="15"/>
      <c r="T151" s="15"/>
      <c r="U151" s="15"/>
      <c r="V151" s="15"/>
    </row>
    <row r="152" spans="1:22" x14ac:dyDescent="0.25">
      <c r="A152">
        <v>137</v>
      </c>
      <c r="B152" s="1" t="s">
        <v>115</v>
      </c>
      <c r="C152" t="s">
        <v>115</v>
      </c>
      <c r="D152" s="2">
        <v>7807</v>
      </c>
      <c r="E152" s="2"/>
      <c r="J152">
        <f t="shared" si="4"/>
        <v>7807</v>
      </c>
      <c r="K152" s="5">
        <f t="shared" si="5"/>
        <v>1.7197602345394336E-4</v>
      </c>
      <c r="L152" s="18" t="s">
        <v>1195</v>
      </c>
      <c r="M152" s="18"/>
      <c r="N152" s="18" t="s">
        <v>1302</v>
      </c>
      <c r="O152" s="18"/>
      <c r="P152" s="18"/>
      <c r="Q152" s="18"/>
      <c r="R152" s="15"/>
      <c r="S152" s="15"/>
      <c r="T152" s="15"/>
      <c r="U152" s="15"/>
      <c r="V152" s="15"/>
    </row>
    <row r="153" spans="1:22" x14ac:dyDescent="0.25">
      <c r="A153">
        <v>138</v>
      </c>
      <c r="B153" s="1" t="s">
        <v>779</v>
      </c>
      <c r="C153" t="s">
        <v>1044</v>
      </c>
      <c r="D153" s="2">
        <v>7757</v>
      </c>
      <c r="E153" s="2"/>
      <c r="J153">
        <f t="shared" si="4"/>
        <v>7757</v>
      </c>
      <c r="K153" s="5">
        <f t="shared" si="5"/>
        <v>1.7087460150278452E-4</v>
      </c>
      <c r="L153" s="18" t="s">
        <v>1196</v>
      </c>
      <c r="M153" s="18"/>
      <c r="N153" s="18" t="s">
        <v>1305</v>
      </c>
      <c r="O153" s="18"/>
      <c r="P153" s="18"/>
      <c r="Q153" s="18"/>
      <c r="R153" s="15"/>
      <c r="S153" s="15"/>
      <c r="T153" s="15"/>
      <c r="U153" s="15"/>
      <c r="V153" s="15"/>
    </row>
    <row r="154" spans="1:22" x14ac:dyDescent="0.25">
      <c r="A154">
        <v>139</v>
      </c>
      <c r="B154" s="1" t="s">
        <v>116</v>
      </c>
      <c r="C154" t="s">
        <v>116</v>
      </c>
      <c r="D154" s="2">
        <v>7708</v>
      </c>
      <c r="E154" s="2"/>
      <c r="J154">
        <f t="shared" si="4"/>
        <v>7708</v>
      </c>
      <c r="K154" s="5">
        <f t="shared" si="5"/>
        <v>1.6979520799064883E-4</v>
      </c>
      <c r="L154" s="18" t="s">
        <v>1197</v>
      </c>
      <c r="M154" s="18"/>
      <c r="N154" s="18" t="s">
        <v>1386</v>
      </c>
      <c r="O154" s="18"/>
      <c r="P154" s="18"/>
      <c r="Q154" s="18"/>
      <c r="R154" s="15"/>
      <c r="S154" s="15"/>
      <c r="T154" s="15"/>
      <c r="U154" s="15"/>
      <c r="V154" s="15"/>
    </row>
    <row r="155" spans="1:22" x14ac:dyDescent="0.25">
      <c r="A155">
        <v>140</v>
      </c>
      <c r="B155" s="1" t="s">
        <v>117</v>
      </c>
      <c r="C155" t="s">
        <v>117</v>
      </c>
      <c r="D155" s="2">
        <v>7634</v>
      </c>
      <c r="E155" s="2"/>
      <c r="J155">
        <f t="shared" si="4"/>
        <v>7634</v>
      </c>
      <c r="K155" s="5">
        <f t="shared" si="5"/>
        <v>1.6816510350293375E-4</v>
      </c>
      <c r="L155" s="18" t="s">
        <v>1198</v>
      </c>
      <c r="M155" s="18"/>
      <c r="N155" s="18" t="s">
        <v>1303</v>
      </c>
      <c r="O155" s="18"/>
      <c r="P155" s="18"/>
      <c r="Q155" s="18"/>
      <c r="R155" s="15"/>
      <c r="S155" s="15"/>
      <c r="T155" s="15"/>
      <c r="U155" s="15"/>
      <c r="V155" s="15"/>
    </row>
    <row r="156" spans="1:22" x14ac:dyDescent="0.25">
      <c r="A156">
        <v>141</v>
      </c>
      <c r="B156" s="1" t="s">
        <v>118</v>
      </c>
      <c r="C156" t="s">
        <v>118</v>
      </c>
      <c r="D156" s="2">
        <v>7575</v>
      </c>
      <c r="E156" s="2"/>
      <c r="J156">
        <f t="shared" si="4"/>
        <v>7575</v>
      </c>
      <c r="K156" s="5">
        <f t="shared" si="5"/>
        <v>1.668654256005663E-4</v>
      </c>
      <c r="L156" s="18" t="s">
        <v>1199</v>
      </c>
      <c r="M156" s="18"/>
      <c r="N156" s="18" t="s">
        <v>1345</v>
      </c>
      <c r="O156" s="18"/>
      <c r="P156" s="18"/>
      <c r="Q156" s="18"/>
      <c r="R156" s="15"/>
      <c r="S156" s="15"/>
      <c r="T156" s="15"/>
      <c r="U156" s="15"/>
      <c r="V156" s="15"/>
    </row>
    <row r="157" spans="1:22" x14ac:dyDescent="0.25">
      <c r="A157">
        <v>142</v>
      </c>
      <c r="B157" s="1" t="s">
        <v>119</v>
      </c>
      <c r="C157" t="s">
        <v>119</v>
      </c>
      <c r="D157" s="2">
        <v>7543</v>
      </c>
      <c r="E157" s="2"/>
      <c r="J157">
        <f t="shared" si="4"/>
        <v>7543</v>
      </c>
      <c r="K157" s="5">
        <f t="shared" si="5"/>
        <v>1.6616051555182461E-4</v>
      </c>
      <c r="L157" s="18" t="s">
        <v>1200</v>
      </c>
      <c r="M157" s="18"/>
      <c r="N157" s="18" t="s">
        <v>1467</v>
      </c>
      <c r="O157" s="18"/>
      <c r="P157" s="18"/>
      <c r="Q157" s="18"/>
      <c r="R157" s="38"/>
      <c r="S157" s="38"/>
      <c r="T157" s="38"/>
      <c r="U157" s="38"/>
      <c r="V157" s="15"/>
    </row>
    <row r="158" spans="1:22" x14ac:dyDescent="0.25">
      <c r="A158">
        <v>143</v>
      </c>
      <c r="B158" s="1" t="s">
        <v>282</v>
      </c>
      <c r="C158" t="s">
        <v>1024</v>
      </c>
      <c r="D158" s="2">
        <v>7326</v>
      </c>
      <c r="E158" s="2"/>
      <c r="J158">
        <f t="shared" si="4"/>
        <v>7326</v>
      </c>
      <c r="K158" s="5">
        <f t="shared" si="5"/>
        <v>1.6138034428379519E-4</v>
      </c>
      <c r="L158" s="18" t="s">
        <v>1201</v>
      </c>
      <c r="M158" s="18"/>
      <c r="N158" s="21" t="s">
        <v>1408</v>
      </c>
      <c r="O158" s="18"/>
      <c r="P158" s="18"/>
      <c r="Q158" s="18"/>
      <c r="R158" s="38"/>
      <c r="S158" s="38"/>
      <c r="T158" s="38"/>
      <c r="U158" s="38"/>
      <c r="V158" s="15"/>
    </row>
    <row r="159" spans="1:22" x14ac:dyDescent="0.25">
      <c r="A159">
        <v>144</v>
      </c>
      <c r="B159" t="s">
        <v>130</v>
      </c>
      <c r="C159" t="s">
        <v>129</v>
      </c>
      <c r="D159" s="2">
        <v>0</v>
      </c>
      <c r="E159" s="2"/>
      <c r="F159" s="2">
        <v>7294</v>
      </c>
      <c r="G159" s="2"/>
      <c r="J159">
        <f t="shared" si="4"/>
        <v>7294</v>
      </c>
      <c r="K159" s="5">
        <f t="shared" si="5"/>
        <v>1.6067543423505353E-4</v>
      </c>
      <c r="L159" s="18" t="s">
        <v>1202</v>
      </c>
      <c r="M159" s="18"/>
      <c r="N159" s="18" t="s">
        <v>1426</v>
      </c>
      <c r="O159" s="18"/>
      <c r="P159" s="18"/>
      <c r="Q159" s="18"/>
      <c r="R159" s="38"/>
      <c r="S159" s="38"/>
      <c r="T159" s="38"/>
      <c r="U159" s="38"/>
      <c r="V159" s="15"/>
    </row>
    <row r="160" spans="1:22" x14ac:dyDescent="0.25">
      <c r="A160">
        <v>145</v>
      </c>
      <c r="B160" t="s">
        <v>131</v>
      </c>
      <c r="C160" t="s">
        <v>129</v>
      </c>
      <c r="D160" s="2">
        <v>0</v>
      </c>
      <c r="E160" s="2"/>
      <c r="F160" s="2">
        <v>7294</v>
      </c>
      <c r="G160" s="2"/>
      <c r="J160">
        <f t="shared" si="4"/>
        <v>7294</v>
      </c>
      <c r="K160" s="5">
        <f t="shared" si="5"/>
        <v>1.6067543423505353E-4</v>
      </c>
      <c r="L160" s="18" t="s">
        <v>1203</v>
      </c>
      <c r="M160" s="18"/>
      <c r="N160" s="20" t="s">
        <v>1457</v>
      </c>
      <c r="O160" s="18"/>
      <c r="P160" s="18"/>
      <c r="Q160" s="18"/>
      <c r="R160" s="38"/>
      <c r="S160" s="38"/>
      <c r="T160" s="38"/>
      <c r="U160" s="38"/>
      <c r="V160" s="15"/>
    </row>
    <row r="161" spans="1:22" x14ac:dyDescent="0.25">
      <c r="A161">
        <v>146</v>
      </c>
      <c r="B161" s="1" t="s">
        <v>283</v>
      </c>
      <c r="C161" t="s">
        <v>1046</v>
      </c>
      <c r="D161" s="2">
        <v>7185</v>
      </c>
      <c r="E161" s="2"/>
      <c r="J161">
        <f t="shared" si="4"/>
        <v>7185</v>
      </c>
      <c r="K161" s="5">
        <f t="shared" si="5"/>
        <v>1.5827433438152724E-4</v>
      </c>
      <c r="L161" s="18" t="s">
        <v>1204</v>
      </c>
      <c r="M161" s="18"/>
      <c r="N161" s="18" t="s">
        <v>1320</v>
      </c>
      <c r="O161" s="18"/>
      <c r="P161" s="18"/>
      <c r="Q161" s="18"/>
      <c r="R161" s="15"/>
      <c r="S161" s="15"/>
      <c r="T161" s="15"/>
      <c r="U161" s="15"/>
      <c r="V161" s="15"/>
    </row>
    <row r="162" spans="1:22" x14ac:dyDescent="0.25">
      <c r="A162">
        <v>147</v>
      </c>
      <c r="B162" s="1" t="s">
        <v>121</v>
      </c>
      <c r="C162" t="s">
        <v>121</v>
      </c>
      <c r="D162" s="2">
        <v>7149</v>
      </c>
      <c r="E162" s="2"/>
      <c r="J162">
        <f t="shared" si="4"/>
        <v>7149</v>
      </c>
      <c r="K162" s="5">
        <f t="shared" si="5"/>
        <v>1.5748131057669287E-4</v>
      </c>
      <c r="L162" s="18" t="s">
        <v>1205</v>
      </c>
      <c r="M162" s="18"/>
      <c r="N162" s="18" t="s">
        <v>1301</v>
      </c>
      <c r="O162" s="18"/>
      <c r="P162" s="18"/>
      <c r="Q162" s="18"/>
      <c r="R162" s="15"/>
      <c r="S162" s="15"/>
      <c r="T162" s="15"/>
      <c r="U162" s="15"/>
      <c r="V162" s="15"/>
    </row>
    <row r="163" spans="1:22" x14ac:dyDescent="0.25">
      <c r="A163">
        <v>148</v>
      </c>
      <c r="B163" s="1" t="s">
        <v>288</v>
      </c>
      <c r="C163" t="s">
        <v>1047</v>
      </c>
      <c r="D163" s="2">
        <v>7108</v>
      </c>
      <c r="E163" s="2"/>
      <c r="J163">
        <f t="shared" si="4"/>
        <v>7108</v>
      </c>
      <c r="K163" s="5">
        <f t="shared" si="5"/>
        <v>1.565781445767426E-4</v>
      </c>
      <c r="L163" s="18" t="s">
        <v>1206</v>
      </c>
      <c r="M163" s="18"/>
      <c r="N163" s="18" t="s">
        <v>1353</v>
      </c>
      <c r="O163" s="18"/>
      <c r="P163" s="18"/>
      <c r="Q163" s="18"/>
      <c r="R163" s="15"/>
      <c r="S163" s="15"/>
      <c r="T163" s="15"/>
      <c r="U163" s="15"/>
      <c r="V163" s="15"/>
    </row>
    <row r="164" spans="1:22" x14ac:dyDescent="0.25">
      <c r="A164">
        <v>149</v>
      </c>
      <c r="B164" s="1" t="s">
        <v>122</v>
      </c>
      <c r="C164" t="s">
        <v>122</v>
      </c>
      <c r="D164" s="2">
        <v>7009</v>
      </c>
      <c r="E164" s="2"/>
      <c r="J164">
        <f t="shared" si="4"/>
        <v>7009</v>
      </c>
      <c r="K164" s="5">
        <f t="shared" si="5"/>
        <v>1.5439732911344808E-4</v>
      </c>
      <c r="L164" s="18" t="s">
        <v>1207</v>
      </c>
      <c r="M164" s="18"/>
      <c r="N164" s="18" t="s">
        <v>1427</v>
      </c>
      <c r="O164" s="18"/>
      <c r="P164" s="18"/>
      <c r="Q164" s="18"/>
      <c r="R164" s="38"/>
      <c r="S164" s="38"/>
      <c r="T164" s="38"/>
      <c r="U164" s="38"/>
      <c r="V164" s="15"/>
    </row>
    <row r="165" spans="1:22" x14ac:dyDescent="0.25">
      <c r="A165">
        <v>150</v>
      </c>
      <c r="B165" s="1" t="s">
        <v>133</v>
      </c>
      <c r="C165" s="1" t="s">
        <v>132</v>
      </c>
      <c r="D165" s="2">
        <v>0</v>
      </c>
      <c r="E165" s="2"/>
      <c r="F165" s="2">
        <v>6996</v>
      </c>
      <c r="G165" s="2"/>
      <c r="H165" s="2"/>
      <c r="J165">
        <f t="shared" si="4"/>
        <v>6996</v>
      </c>
      <c r="K165" s="5">
        <f t="shared" si="5"/>
        <v>1.5411095940614676E-4</v>
      </c>
      <c r="L165" s="18" t="s">
        <v>1208</v>
      </c>
      <c r="M165" s="18"/>
      <c r="N165" s="18" t="s">
        <v>1352</v>
      </c>
      <c r="O165" s="18"/>
      <c r="P165" s="18"/>
      <c r="Q165" s="18"/>
      <c r="R165" s="15"/>
      <c r="S165" s="15"/>
      <c r="T165" s="15"/>
      <c r="U165" s="15"/>
      <c r="V165" s="15"/>
    </row>
    <row r="166" spans="1:22" x14ac:dyDescent="0.25">
      <c r="A166">
        <v>151</v>
      </c>
      <c r="B166" s="1" t="s">
        <v>134</v>
      </c>
      <c r="C166" s="1" t="s">
        <v>132</v>
      </c>
      <c r="D166" s="2">
        <v>0</v>
      </c>
      <c r="E166" s="2"/>
      <c r="F166" s="2">
        <v>6996</v>
      </c>
      <c r="G166" s="2"/>
      <c r="J166">
        <f t="shared" si="4"/>
        <v>6996</v>
      </c>
      <c r="K166" s="5">
        <f t="shared" si="5"/>
        <v>1.5411095940614676E-4</v>
      </c>
      <c r="L166" s="18" t="s">
        <v>1209</v>
      </c>
      <c r="M166" s="18"/>
      <c r="N166" s="18" t="s">
        <v>1379</v>
      </c>
      <c r="O166" s="18"/>
      <c r="P166" s="18"/>
      <c r="Q166" s="18"/>
      <c r="R166" s="15"/>
      <c r="S166" s="15"/>
      <c r="T166" s="15"/>
      <c r="U166" s="15"/>
      <c r="V166" s="15"/>
    </row>
    <row r="167" spans="1:22" x14ac:dyDescent="0.25">
      <c r="A167">
        <v>152</v>
      </c>
      <c r="B167" s="1" t="s">
        <v>123</v>
      </c>
      <c r="C167" t="s">
        <v>123</v>
      </c>
      <c r="D167" s="2">
        <v>6923</v>
      </c>
      <c r="E167" s="2"/>
      <c r="J167">
        <f t="shared" si="4"/>
        <v>6923</v>
      </c>
      <c r="K167" s="5">
        <f t="shared" si="5"/>
        <v>1.5250288335745484E-4</v>
      </c>
      <c r="L167" s="18" t="s">
        <v>1210</v>
      </c>
      <c r="M167" s="18"/>
      <c r="N167" s="18" t="s">
        <v>1356</v>
      </c>
      <c r="O167" s="18"/>
      <c r="P167" s="18"/>
      <c r="Q167" s="18"/>
      <c r="R167" s="15"/>
      <c r="S167" s="15"/>
      <c r="T167" s="15"/>
      <c r="U167" s="15"/>
      <c r="V167" s="15"/>
    </row>
    <row r="168" spans="1:22" x14ac:dyDescent="0.25">
      <c r="A168">
        <v>153</v>
      </c>
      <c r="B168" s="1" t="s">
        <v>124</v>
      </c>
      <c r="C168" t="s">
        <v>124</v>
      </c>
      <c r="D168" s="2">
        <v>6911</v>
      </c>
      <c r="E168" s="2"/>
      <c r="J168">
        <f t="shared" si="4"/>
        <v>6911</v>
      </c>
      <c r="K168" s="5">
        <f t="shared" si="5"/>
        <v>1.522385420891767E-4</v>
      </c>
      <c r="L168" s="21" t="s">
        <v>1293</v>
      </c>
      <c r="M168" s="18"/>
      <c r="N168" s="18" t="s">
        <v>1365</v>
      </c>
      <c r="O168" s="18"/>
      <c r="P168" s="18"/>
      <c r="Q168" s="18"/>
      <c r="R168" s="15"/>
      <c r="S168" s="15"/>
      <c r="T168" s="15"/>
      <c r="U168" s="15"/>
      <c r="V168" s="15"/>
    </row>
    <row r="169" spans="1:22" x14ac:dyDescent="0.25">
      <c r="A169">
        <v>154</v>
      </c>
      <c r="B169" s="1" t="s">
        <v>125</v>
      </c>
      <c r="C169" t="s">
        <v>125</v>
      </c>
      <c r="D169" s="2">
        <v>6867</v>
      </c>
      <c r="E169" s="2"/>
      <c r="J169">
        <f t="shared" si="4"/>
        <v>6867</v>
      </c>
      <c r="K169" s="5">
        <f t="shared" si="5"/>
        <v>1.5126929077215691E-4</v>
      </c>
      <c r="L169" s="18" t="s">
        <v>1211</v>
      </c>
      <c r="M169" s="18"/>
      <c r="N169" s="18" t="s">
        <v>1470</v>
      </c>
      <c r="O169" s="18"/>
      <c r="P169" s="18"/>
      <c r="Q169" s="18"/>
      <c r="R169" s="15"/>
      <c r="S169" s="15"/>
      <c r="T169" s="15"/>
      <c r="U169" s="15"/>
      <c r="V169" s="15"/>
    </row>
    <row r="170" spans="1:22" x14ac:dyDescent="0.25">
      <c r="A170">
        <v>155</v>
      </c>
      <c r="B170" s="1" t="s">
        <v>319</v>
      </c>
      <c r="C170" t="s">
        <v>1048</v>
      </c>
      <c r="D170" s="2">
        <v>6795</v>
      </c>
      <c r="E170" s="2"/>
      <c r="J170">
        <f t="shared" si="4"/>
        <v>6795</v>
      </c>
      <c r="K170" s="5">
        <f t="shared" si="5"/>
        <v>1.4968324316248817E-4</v>
      </c>
      <c r="L170" s="18" t="s">
        <v>1212</v>
      </c>
      <c r="M170" s="18"/>
      <c r="N170" s="18" t="s">
        <v>1363</v>
      </c>
      <c r="O170" s="18"/>
      <c r="P170" s="18"/>
      <c r="Q170" s="18"/>
      <c r="R170" s="15"/>
      <c r="S170" s="15"/>
      <c r="T170" s="15"/>
      <c r="U170" s="15"/>
      <c r="V170" s="15"/>
    </row>
    <row r="171" spans="1:22" x14ac:dyDescent="0.25">
      <c r="A171">
        <v>156</v>
      </c>
      <c r="B171" s="1" t="s">
        <v>316</v>
      </c>
      <c r="C171" t="s">
        <v>278</v>
      </c>
      <c r="D171" s="2">
        <v>0</v>
      </c>
      <c r="E171" s="2"/>
      <c r="F171" s="1"/>
      <c r="G171" s="1"/>
      <c r="H171" s="2">
        <v>6771</v>
      </c>
      <c r="I171" s="1"/>
      <c r="J171">
        <f t="shared" si="4"/>
        <v>6771</v>
      </c>
      <c r="K171" s="5">
        <f t="shared" si="5"/>
        <v>1.4915456062593194E-4</v>
      </c>
      <c r="L171" s="18" t="s">
        <v>1213</v>
      </c>
      <c r="M171" s="18"/>
      <c r="N171" s="18" t="s">
        <v>1420</v>
      </c>
      <c r="O171" s="18"/>
      <c r="P171" s="20"/>
      <c r="Q171" s="20"/>
      <c r="R171" s="15"/>
      <c r="S171" s="15"/>
      <c r="T171" s="15"/>
      <c r="U171" s="15"/>
      <c r="V171" s="15"/>
    </row>
    <row r="172" spans="1:22" x14ac:dyDescent="0.25">
      <c r="A172">
        <v>157</v>
      </c>
      <c r="B172" s="1" t="s">
        <v>126</v>
      </c>
      <c r="C172" t="s">
        <v>126</v>
      </c>
      <c r="D172" s="2">
        <v>6767</v>
      </c>
      <c r="E172" s="2"/>
      <c r="J172">
        <f t="shared" si="4"/>
        <v>6767</v>
      </c>
      <c r="K172" s="5">
        <f t="shared" si="5"/>
        <v>1.4906644686983923E-4</v>
      </c>
      <c r="L172" s="18" t="s">
        <v>1214</v>
      </c>
      <c r="M172" s="18"/>
      <c r="N172" s="20" t="s">
        <v>1328</v>
      </c>
      <c r="O172" s="18"/>
      <c r="P172" s="18"/>
      <c r="Q172" s="18"/>
      <c r="R172" s="15"/>
      <c r="S172" s="15"/>
      <c r="T172" s="15"/>
      <c r="U172" s="15"/>
      <c r="V172" s="15"/>
    </row>
    <row r="173" spans="1:22" x14ac:dyDescent="0.25">
      <c r="A173">
        <v>158</v>
      </c>
      <c r="B173" t="s">
        <v>685</v>
      </c>
      <c r="C173" t="s">
        <v>685</v>
      </c>
      <c r="D173">
        <v>6496</v>
      </c>
      <c r="J173">
        <f t="shared" si="4"/>
        <v>6496</v>
      </c>
      <c r="K173" s="5">
        <f t="shared" si="5"/>
        <v>1.4309673989455825E-4</v>
      </c>
      <c r="L173" s="18" t="s">
        <v>1215</v>
      </c>
      <c r="M173" s="18"/>
      <c r="N173" s="21" t="s">
        <v>1433</v>
      </c>
      <c r="O173" s="20"/>
      <c r="P173" s="18"/>
      <c r="Q173" s="18"/>
      <c r="R173" s="15"/>
      <c r="S173" s="15"/>
      <c r="T173" s="15"/>
      <c r="U173" s="15"/>
      <c r="V173" s="15"/>
    </row>
    <row r="174" spans="1:22" x14ac:dyDescent="0.25">
      <c r="A174">
        <v>159</v>
      </c>
      <c r="B174" t="s">
        <v>686</v>
      </c>
      <c r="C174" t="s">
        <v>686</v>
      </c>
      <c r="D174">
        <v>6495</v>
      </c>
      <c r="J174">
        <f t="shared" si="4"/>
        <v>6495</v>
      </c>
      <c r="K174" s="5">
        <f t="shared" si="5"/>
        <v>1.4307471145553506E-4</v>
      </c>
      <c r="L174" s="18" t="s">
        <v>1216</v>
      </c>
      <c r="M174" s="18"/>
      <c r="N174" s="21" t="s">
        <v>1439</v>
      </c>
      <c r="O174" s="18"/>
      <c r="P174" s="18"/>
      <c r="Q174" s="18"/>
      <c r="R174" s="15"/>
      <c r="S174" s="15"/>
      <c r="T174" s="15"/>
      <c r="U174" s="15"/>
      <c r="V174" s="15"/>
    </row>
    <row r="175" spans="1:22" x14ac:dyDescent="0.25">
      <c r="A175">
        <v>160</v>
      </c>
      <c r="B175" t="s">
        <v>973</v>
      </c>
      <c r="C175" t="s">
        <v>972</v>
      </c>
      <c r="D175">
        <f>3629+2828</f>
        <v>6457</v>
      </c>
      <c r="J175">
        <f t="shared" si="4"/>
        <v>6457</v>
      </c>
      <c r="K175" s="5">
        <f t="shared" si="5"/>
        <v>1.4223763077265432E-4</v>
      </c>
      <c r="L175" s="18" t="s">
        <v>1217</v>
      </c>
      <c r="M175" s="18"/>
      <c r="N175" s="21" t="s">
        <v>1466</v>
      </c>
      <c r="O175" s="18"/>
      <c r="P175" s="18"/>
      <c r="Q175" s="18"/>
      <c r="R175" s="15"/>
      <c r="S175" s="15"/>
      <c r="T175" s="15"/>
      <c r="U175" s="15"/>
      <c r="V175" s="15"/>
    </row>
    <row r="176" spans="1:22" x14ac:dyDescent="0.25">
      <c r="A176">
        <v>161</v>
      </c>
      <c r="B176" t="s">
        <v>687</v>
      </c>
      <c r="C176" t="s">
        <v>687</v>
      </c>
      <c r="D176">
        <v>6427</v>
      </c>
      <c r="J176">
        <f t="shared" si="4"/>
        <v>6427</v>
      </c>
      <c r="K176" s="5">
        <f t="shared" si="5"/>
        <v>1.4157677760195901E-4</v>
      </c>
      <c r="L176" s="20" t="s">
        <v>1218</v>
      </c>
      <c r="M176" s="20"/>
      <c r="N176" s="20" t="s">
        <v>1472</v>
      </c>
      <c r="O176" s="18"/>
      <c r="P176" s="18"/>
      <c r="Q176" s="18"/>
      <c r="R176" s="15"/>
      <c r="S176" s="15"/>
      <c r="T176" s="15"/>
      <c r="U176" s="15"/>
      <c r="V176" s="15"/>
    </row>
    <row r="177" spans="1:22" x14ac:dyDescent="0.25">
      <c r="A177">
        <v>162</v>
      </c>
      <c r="B177" t="s">
        <v>781</v>
      </c>
      <c r="C177" t="s">
        <v>688</v>
      </c>
      <c r="D177">
        <v>6342</v>
      </c>
      <c r="J177">
        <f t="shared" si="4"/>
        <v>6342</v>
      </c>
      <c r="K177" s="5">
        <f t="shared" si="5"/>
        <v>1.3970436028498895E-4</v>
      </c>
      <c r="L177" s="20" t="s">
        <v>1219</v>
      </c>
      <c r="M177" s="20"/>
      <c r="N177" s="21" t="s">
        <v>1372</v>
      </c>
      <c r="O177" s="18"/>
      <c r="P177" s="18"/>
      <c r="Q177" s="18"/>
      <c r="R177" s="15"/>
      <c r="S177" s="15"/>
      <c r="T177" s="15"/>
      <c r="U177" s="15"/>
      <c r="V177" s="15"/>
    </row>
    <row r="178" spans="1:22" x14ac:dyDescent="0.25">
      <c r="A178">
        <v>163</v>
      </c>
      <c r="B178" t="s">
        <v>782</v>
      </c>
      <c r="C178" t="s">
        <v>689</v>
      </c>
      <c r="D178">
        <v>6302</v>
      </c>
      <c r="J178">
        <f t="shared" si="4"/>
        <v>6302</v>
      </c>
      <c r="K178" s="5">
        <f t="shared" si="5"/>
        <v>1.3882322272406187E-4</v>
      </c>
      <c r="L178" s="18" t="s">
        <v>1220</v>
      </c>
      <c r="M178" s="18"/>
      <c r="N178" s="18" t="s">
        <v>1322</v>
      </c>
      <c r="O178" s="18"/>
      <c r="P178" s="18"/>
      <c r="Q178" s="18"/>
      <c r="R178" s="15"/>
      <c r="S178" s="15"/>
      <c r="T178" s="15"/>
      <c r="U178" s="15"/>
      <c r="V178" s="15"/>
    </row>
    <row r="179" spans="1:22" x14ac:dyDescent="0.25">
      <c r="A179">
        <v>164</v>
      </c>
      <c r="B179" t="s">
        <v>783</v>
      </c>
      <c r="C179" t="s">
        <v>690</v>
      </c>
      <c r="D179">
        <v>6260</v>
      </c>
      <c r="J179">
        <f t="shared" si="4"/>
        <v>6260</v>
      </c>
      <c r="K179" s="5">
        <f t="shared" si="5"/>
        <v>1.3789802828508845E-4</v>
      </c>
      <c r="L179" s="18" t="s">
        <v>1221</v>
      </c>
      <c r="M179" s="18"/>
      <c r="N179" s="18" t="s">
        <v>1417</v>
      </c>
      <c r="O179" s="18"/>
      <c r="P179" s="18"/>
      <c r="Q179" s="18"/>
      <c r="R179" s="15"/>
      <c r="S179" s="15"/>
      <c r="T179" s="15"/>
      <c r="U179" s="15"/>
      <c r="V179" s="15"/>
    </row>
    <row r="180" spans="1:22" x14ac:dyDescent="0.25">
      <c r="A180">
        <v>165</v>
      </c>
      <c r="B180" t="s">
        <v>691</v>
      </c>
      <c r="C180" t="s">
        <v>691</v>
      </c>
      <c r="D180">
        <v>6062</v>
      </c>
      <c r="J180">
        <f t="shared" si="4"/>
        <v>6062</v>
      </c>
      <c r="K180" s="5">
        <f t="shared" si="5"/>
        <v>1.3353639735849939E-4</v>
      </c>
      <c r="L180" s="18" t="s">
        <v>1222</v>
      </c>
      <c r="M180" s="18"/>
      <c r="N180" s="18" t="s">
        <v>1468</v>
      </c>
      <c r="O180" s="18"/>
      <c r="P180" s="18"/>
      <c r="Q180" s="18"/>
      <c r="R180" s="15"/>
      <c r="S180" s="15"/>
      <c r="T180" s="15"/>
      <c r="U180" s="15"/>
      <c r="V180" s="15"/>
    </row>
    <row r="181" spans="1:22" x14ac:dyDescent="0.25">
      <c r="A181">
        <v>166</v>
      </c>
      <c r="B181" t="s">
        <v>955</v>
      </c>
      <c r="C181" t="s">
        <v>953</v>
      </c>
      <c r="F181">
        <v>5981</v>
      </c>
      <c r="J181">
        <f t="shared" si="4"/>
        <v>5981</v>
      </c>
      <c r="K181" s="5">
        <f t="shared" si="5"/>
        <v>1.3175209379762205E-4</v>
      </c>
      <c r="L181" s="18" t="s">
        <v>1223</v>
      </c>
      <c r="M181" s="18"/>
      <c r="N181" s="18" t="s">
        <v>1445</v>
      </c>
      <c r="O181" s="18"/>
      <c r="P181" s="18"/>
      <c r="Q181" s="18"/>
      <c r="R181" s="15"/>
      <c r="S181" s="15"/>
      <c r="T181" s="15"/>
      <c r="U181" s="15"/>
      <c r="V181" s="15"/>
    </row>
    <row r="182" spans="1:22" x14ac:dyDescent="0.25">
      <c r="A182">
        <v>167</v>
      </c>
      <c r="B182" t="s">
        <v>784</v>
      </c>
      <c r="C182" t="s">
        <v>692</v>
      </c>
      <c r="D182">
        <v>5957</v>
      </c>
      <c r="J182">
        <f t="shared" si="4"/>
        <v>5957</v>
      </c>
      <c r="K182" s="5">
        <f t="shared" si="5"/>
        <v>1.3122341126106578E-4</v>
      </c>
      <c r="L182" s="18" t="s">
        <v>1224</v>
      </c>
      <c r="M182" s="18"/>
      <c r="N182" s="18" t="s">
        <v>1358</v>
      </c>
      <c r="O182" s="18"/>
      <c r="P182" s="18"/>
      <c r="Q182" s="18"/>
      <c r="R182" s="15"/>
      <c r="S182" s="15"/>
      <c r="T182" s="15"/>
      <c r="U182" s="15"/>
      <c r="V182" s="15"/>
    </row>
    <row r="183" spans="1:22" x14ac:dyDescent="0.25">
      <c r="A183">
        <v>168</v>
      </c>
      <c r="B183" t="s">
        <v>785</v>
      </c>
      <c r="C183" t="s">
        <v>693</v>
      </c>
      <c r="D183">
        <v>5799</v>
      </c>
      <c r="J183">
        <f t="shared" si="4"/>
        <v>5799</v>
      </c>
      <c r="K183" s="5">
        <f t="shared" si="5"/>
        <v>1.2774291789540381E-4</v>
      </c>
      <c r="L183" s="18" t="s">
        <v>1225</v>
      </c>
      <c r="M183" s="18"/>
      <c r="N183" s="18" t="s">
        <v>1400</v>
      </c>
      <c r="O183" s="18"/>
      <c r="P183" s="18"/>
      <c r="Q183" s="18"/>
      <c r="R183" s="15"/>
      <c r="S183" s="15"/>
      <c r="T183" s="15"/>
      <c r="U183" s="15"/>
      <c r="V183" s="15"/>
    </row>
    <row r="184" spans="1:22" x14ac:dyDescent="0.25">
      <c r="A184">
        <v>169</v>
      </c>
      <c r="B184" t="s">
        <v>694</v>
      </c>
      <c r="C184" t="s">
        <v>694</v>
      </c>
      <c r="D184">
        <v>5693</v>
      </c>
      <c r="J184">
        <f t="shared" si="4"/>
        <v>5693</v>
      </c>
      <c r="K184" s="5">
        <f t="shared" si="5"/>
        <v>1.2540790335894704E-4</v>
      </c>
      <c r="L184" s="18" t="s">
        <v>1226</v>
      </c>
      <c r="M184" s="18"/>
      <c r="N184" s="18" t="s">
        <v>1425</v>
      </c>
      <c r="O184" s="18"/>
      <c r="P184" s="18"/>
      <c r="Q184" s="18"/>
      <c r="R184" s="15"/>
      <c r="S184" s="15"/>
      <c r="T184" s="15"/>
      <c r="U184" s="15"/>
      <c r="V184" s="15"/>
    </row>
    <row r="185" spans="1:22" x14ac:dyDescent="0.25">
      <c r="A185">
        <v>170</v>
      </c>
      <c r="B185" t="s">
        <v>695</v>
      </c>
      <c r="C185" t="s">
        <v>695</v>
      </c>
      <c r="D185">
        <v>5610</v>
      </c>
      <c r="J185">
        <f t="shared" si="4"/>
        <v>5610</v>
      </c>
      <c r="K185" s="5">
        <f t="shared" si="5"/>
        <v>1.2357954292002335E-4</v>
      </c>
      <c r="L185" s="18" t="s">
        <v>1227</v>
      </c>
      <c r="M185" s="18"/>
      <c r="N185" s="18" t="s">
        <v>1314</v>
      </c>
      <c r="O185" s="18"/>
      <c r="P185" s="18"/>
      <c r="Q185" s="18"/>
      <c r="R185" s="15"/>
      <c r="S185" s="15"/>
      <c r="T185" s="15"/>
      <c r="U185" s="15"/>
      <c r="V185" s="15"/>
    </row>
    <row r="186" spans="1:22" x14ac:dyDescent="0.25">
      <c r="A186">
        <v>171</v>
      </c>
      <c r="B186" t="s">
        <v>696</v>
      </c>
      <c r="C186" t="s">
        <v>696</v>
      </c>
      <c r="D186">
        <v>5435</v>
      </c>
      <c r="J186">
        <f t="shared" si="4"/>
        <v>5435</v>
      </c>
      <c r="K186" s="5">
        <f t="shared" si="5"/>
        <v>1.1972456609096736E-4</v>
      </c>
      <c r="L186" s="18" t="s">
        <v>1228</v>
      </c>
      <c r="M186" s="18"/>
      <c r="N186" s="18" t="s">
        <v>1414</v>
      </c>
      <c r="O186" s="18"/>
      <c r="P186" s="18"/>
      <c r="Q186" s="18"/>
      <c r="R186" s="15"/>
      <c r="S186" s="15"/>
      <c r="T186" s="15"/>
      <c r="U186" s="15"/>
      <c r="V186" s="15"/>
    </row>
    <row r="187" spans="1:22" x14ac:dyDescent="0.25">
      <c r="A187">
        <v>172</v>
      </c>
      <c r="B187" t="s">
        <v>697</v>
      </c>
      <c r="C187" t="s">
        <v>697</v>
      </c>
      <c r="D187">
        <v>5270</v>
      </c>
      <c r="J187">
        <f t="shared" si="4"/>
        <v>5270</v>
      </c>
      <c r="K187" s="5">
        <f t="shared" si="5"/>
        <v>1.1608987365214315E-4</v>
      </c>
      <c r="L187" s="18" t="s">
        <v>1229</v>
      </c>
      <c r="M187" s="18"/>
      <c r="N187" s="18" t="s">
        <v>1364</v>
      </c>
      <c r="O187" s="18"/>
      <c r="P187" s="18"/>
      <c r="Q187" s="18"/>
      <c r="R187" s="15"/>
      <c r="S187" s="15"/>
      <c r="T187" s="15"/>
      <c r="U187" s="15"/>
      <c r="V187" s="15"/>
    </row>
    <row r="188" spans="1:22" x14ac:dyDescent="0.25">
      <c r="A188">
        <v>173</v>
      </c>
      <c r="B188" t="s">
        <v>698</v>
      </c>
      <c r="C188" t="s">
        <v>698</v>
      </c>
      <c r="D188">
        <v>5122</v>
      </c>
      <c r="J188">
        <f t="shared" si="4"/>
        <v>5122</v>
      </c>
      <c r="K188" s="5">
        <f t="shared" si="5"/>
        <v>1.1282966467671295E-4</v>
      </c>
      <c r="L188" s="18" t="s">
        <v>1230</v>
      </c>
      <c r="M188" s="18"/>
      <c r="N188" s="18" t="s">
        <v>1371</v>
      </c>
      <c r="O188" s="18"/>
      <c r="P188" s="18"/>
      <c r="Q188" s="18"/>
      <c r="R188" s="15"/>
      <c r="S188" s="15"/>
      <c r="T188" s="15"/>
      <c r="U188" s="15"/>
      <c r="V188" s="15"/>
    </row>
    <row r="189" spans="1:22" x14ac:dyDescent="0.25">
      <c r="A189">
        <v>174</v>
      </c>
      <c r="B189" t="s">
        <v>699</v>
      </c>
      <c r="C189" t="s">
        <v>699</v>
      </c>
      <c r="D189">
        <v>5034</v>
      </c>
      <c r="J189">
        <f t="shared" si="4"/>
        <v>5034</v>
      </c>
      <c r="K189" s="5">
        <f t="shared" si="5"/>
        <v>1.1089116204267337E-4</v>
      </c>
      <c r="L189" s="18" t="s">
        <v>1231</v>
      </c>
      <c r="M189" s="18"/>
      <c r="N189" s="18" t="s">
        <v>1456</v>
      </c>
      <c r="O189" s="18"/>
      <c r="P189" s="18"/>
      <c r="Q189" s="18"/>
      <c r="R189" s="15"/>
      <c r="S189" s="15"/>
      <c r="T189" s="15"/>
      <c r="U189" s="15"/>
      <c r="V189" s="15"/>
    </row>
    <row r="190" spans="1:22" x14ac:dyDescent="0.25">
      <c r="A190">
        <v>175</v>
      </c>
      <c r="B190" t="s">
        <v>700</v>
      </c>
      <c r="C190" t="s">
        <v>700</v>
      </c>
      <c r="D190">
        <v>5017</v>
      </c>
      <c r="J190">
        <f t="shared" si="4"/>
        <v>5017</v>
      </c>
      <c r="K190" s="5">
        <f t="shared" si="5"/>
        <v>1.1051667857927935E-4</v>
      </c>
      <c r="L190" s="18" t="s">
        <v>1232</v>
      </c>
      <c r="M190" s="18"/>
      <c r="N190" s="18" t="s">
        <v>1448</v>
      </c>
      <c r="O190" s="18"/>
      <c r="P190" s="18"/>
      <c r="Q190" s="18"/>
      <c r="R190" s="15"/>
      <c r="S190" s="15"/>
      <c r="T190" s="15"/>
      <c r="U190" s="15"/>
      <c r="V190" s="15"/>
    </row>
    <row r="191" spans="1:22" x14ac:dyDescent="0.25">
      <c r="A191">
        <v>176</v>
      </c>
      <c r="B191" t="s">
        <v>787</v>
      </c>
      <c r="C191" t="s">
        <v>701</v>
      </c>
      <c r="D191">
        <v>5013</v>
      </c>
      <c r="J191">
        <f t="shared" si="4"/>
        <v>5013</v>
      </c>
      <c r="K191" s="5">
        <f t="shared" si="5"/>
        <v>1.1042856482318664E-4</v>
      </c>
      <c r="L191" s="18" t="s">
        <v>1233</v>
      </c>
      <c r="M191" s="18"/>
      <c r="N191" s="18" t="s">
        <v>1422</v>
      </c>
      <c r="O191" s="18"/>
      <c r="P191" s="18"/>
      <c r="Q191" s="18"/>
      <c r="R191" s="15"/>
      <c r="S191" s="15"/>
      <c r="T191" s="15"/>
      <c r="U191" s="15"/>
      <c r="V191" s="15"/>
    </row>
    <row r="192" spans="1:22" x14ac:dyDescent="0.25">
      <c r="A192">
        <v>177</v>
      </c>
      <c r="B192" t="s">
        <v>788</v>
      </c>
      <c r="C192" t="s">
        <v>702</v>
      </c>
      <c r="D192">
        <v>5001</v>
      </c>
      <c r="J192">
        <f t="shared" si="4"/>
        <v>5001</v>
      </c>
      <c r="K192" s="5">
        <f t="shared" si="5"/>
        <v>1.1016422355490851E-4</v>
      </c>
      <c r="L192" s="18" t="s">
        <v>1234</v>
      </c>
      <c r="M192" s="18"/>
      <c r="N192" s="18" t="s">
        <v>1392</v>
      </c>
      <c r="O192" s="18"/>
      <c r="P192" s="18"/>
      <c r="Q192" s="18"/>
      <c r="R192" s="15"/>
      <c r="S192" s="15"/>
      <c r="T192" s="15"/>
      <c r="U192" s="15"/>
      <c r="V192" s="15"/>
    </row>
    <row r="193" spans="1:22" x14ac:dyDescent="0.25">
      <c r="A193">
        <v>178</v>
      </c>
      <c r="B193" t="s">
        <v>789</v>
      </c>
      <c r="C193" t="s">
        <v>703</v>
      </c>
      <c r="D193">
        <v>4976</v>
      </c>
      <c r="J193">
        <f t="shared" si="4"/>
        <v>4976</v>
      </c>
      <c r="K193" s="5">
        <f t="shared" si="5"/>
        <v>1.0961351257932909E-4</v>
      </c>
      <c r="L193" s="18" t="s">
        <v>1235</v>
      </c>
      <c r="M193" s="18"/>
      <c r="N193" s="18" t="s">
        <v>1324</v>
      </c>
      <c r="O193" s="18"/>
      <c r="P193" s="18"/>
      <c r="Q193" s="18"/>
      <c r="R193" s="15"/>
      <c r="S193" s="15"/>
      <c r="T193" s="15"/>
      <c r="U193" s="15"/>
      <c r="V193" s="15"/>
    </row>
    <row r="194" spans="1:22" x14ac:dyDescent="0.25">
      <c r="A194">
        <v>179</v>
      </c>
      <c r="B194" t="s">
        <v>704</v>
      </c>
      <c r="C194" t="s">
        <v>704</v>
      </c>
      <c r="D194">
        <v>4970</v>
      </c>
      <c r="J194">
        <f t="shared" si="4"/>
        <v>4970</v>
      </c>
      <c r="K194" s="5">
        <f t="shared" si="5"/>
        <v>1.0948134194519002E-4</v>
      </c>
      <c r="L194" s="18" t="s">
        <v>1236</v>
      </c>
      <c r="M194" s="18"/>
      <c r="N194" s="18" t="s">
        <v>1321</v>
      </c>
      <c r="O194" s="18"/>
      <c r="P194" s="18"/>
      <c r="Q194" s="18"/>
      <c r="R194" s="15"/>
      <c r="S194" s="15"/>
      <c r="T194" s="15"/>
      <c r="U194" s="15"/>
      <c r="V194" s="15"/>
    </row>
    <row r="195" spans="1:22" x14ac:dyDescent="0.25">
      <c r="A195">
        <v>180</v>
      </c>
      <c r="B195" t="s">
        <v>705</v>
      </c>
      <c r="C195" t="s">
        <v>705</v>
      </c>
      <c r="D195">
        <v>4946</v>
      </c>
      <c r="J195">
        <f t="shared" si="4"/>
        <v>4946</v>
      </c>
      <c r="K195" s="5">
        <f t="shared" si="5"/>
        <v>1.0895265940863377E-4</v>
      </c>
      <c r="L195" s="18" t="s">
        <v>1237</v>
      </c>
      <c r="M195" s="18"/>
      <c r="N195" s="18" t="s">
        <v>1378</v>
      </c>
      <c r="O195" s="18"/>
      <c r="P195" s="18"/>
      <c r="Q195" s="18"/>
      <c r="R195" s="15"/>
      <c r="S195" s="15"/>
      <c r="T195" s="15"/>
      <c r="U195" s="15"/>
      <c r="V195" s="15"/>
    </row>
    <row r="196" spans="1:22" x14ac:dyDescent="0.25">
      <c r="A196">
        <v>181</v>
      </c>
      <c r="B196" t="s">
        <v>706</v>
      </c>
      <c r="C196" t="s">
        <v>706</v>
      </c>
      <c r="D196">
        <v>4923</v>
      </c>
      <c r="J196">
        <f t="shared" si="4"/>
        <v>4923</v>
      </c>
      <c r="K196" s="5">
        <f t="shared" si="5"/>
        <v>1.0844600531110071E-4</v>
      </c>
      <c r="L196" s="18" t="s">
        <v>1238</v>
      </c>
      <c r="M196" s="18"/>
      <c r="N196" s="18" t="s">
        <v>1394</v>
      </c>
      <c r="O196" s="18"/>
      <c r="P196" s="18"/>
      <c r="Q196" s="18"/>
      <c r="R196" s="15"/>
      <c r="S196" s="15"/>
      <c r="T196" s="15"/>
      <c r="U196" s="15"/>
      <c r="V196" s="15"/>
    </row>
    <row r="197" spans="1:22" x14ac:dyDescent="0.25">
      <c r="A197">
        <v>182</v>
      </c>
      <c r="B197" t="s">
        <v>790</v>
      </c>
      <c r="C197" t="s">
        <v>707</v>
      </c>
      <c r="D197">
        <v>4757</v>
      </c>
      <c r="J197">
        <f t="shared" si="4"/>
        <v>4757</v>
      </c>
      <c r="K197" s="5">
        <f t="shared" si="5"/>
        <v>1.0478928443325331E-4</v>
      </c>
      <c r="L197" s="46" t="s">
        <v>1297</v>
      </c>
      <c r="M197" s="18"/>
      <c r="N197" s="18" t="s">
        <v>1477</v>
      </c>
      <c r="O197" s="18"/>
      <c r="P197" s="18"/>
      <c r="Q197" s="18"/>
      <c r="R197" s="15"/>
      <c r="S197" s="15"/>
      <c r="T197" s="15"/>
      <c r="U197" s="15"/>
      <c r="V197" s="15"/>
    </row>
    <row r="198" spans="1:22" x14ac:dyDescent="0.25">
      <c r="A198">
        <v>183</v>
      </c>
      <c r="B198" t="s">
        <v>791</v>
      </c>
      <c r="C198" t="s">
        <v>708</v>
      </c>
      <c r="D198">
        <v>4709</v>
      </c>
      <c r="J198">
        <f t="shared" si="4"/>
        <v>4709</v>
      </c>
      <c r="K198" s="5">
        <f t="shared" si="5"/>
        <v>1.0373191936014082E-4</v>
      </c>
      <c r="L198" s="18" t="s">
        <v>1239</v>
      </c>
      <c r="M198" s="18"/>
      <c r="N198" s="18" t="s">
        <v>1348</v>
      </c>
      <c r="O198" s="18"/>
      <c r="P198" s="18"/>
      <c r="Q198" s="18"/>
      <c r="R198" s="15"/>
      <c r="S198" s="15"/>
      <c r="T198" s="15"/>
      <c r="U198" s="15"/>
      <c r="V198" s="15"/>
    </row>
    <row r="199" spans="1:22" x14ac:dyDescent="0.25">
      <c r="A199">
        <v>184</v>
      </c>
      <c r="B199" t="s">
        <v>709</v>
      </c>
      <c r="C199" t="s">
        <v>709</v>
      </c>
      <c r="D199">
        <v>4708</v>
      </c>
      <c r="J199">
        <f t="shared" si="4"/>
        <v>4708</v>
      </c>
      <c r="K199" s="5">
        <f t="shared" si="5"/>
        <v>1.0370989092111763E-4</v>
      </c>
      <c r="L199" s="18" t="s">
        <v>1240</v>
      </c>
      <c r="M199" s="18"/>
      <c r="N199" s="21" t="s">
        <v>1436</v>
      </c>
      <c r="O199" s="18"/>
      <c r="P199" s="18"/>
      <c r="Q199" s="18"/>
      <c r="R199" s="15"/>
      <c r="S199" s="15"/>
      <c r="T199" s="15"/>
      <c r="U199" s="15"/>
      <c r="V199" s="15"/>
    </row>
    <row r="200" spans="1:22" x14ac:dyDescent="0.25">
      <c r="A200">
        <v>185</v>
      </c>
      <c r="B200" t="s">
        <v>792</v>
      </c>
      <c r="C200" t="s">
        <v>710</v>
      </c>
      <c r="D200">
        <v>4706</v>
      </c>
      <c r="J200">
        <f t="shared" si="4"/>
        <v>4706</v>
      </c>
      <c r="K200" s="5">
        <f t="shared" si="5"/>
        <v>1.0366583404307128E-4</v>
      </c>
      <c r="L200" s="18" t="s">
        <v>1241</v>
      </c>
      <c r="M200" s="18"/>
      <c r="N200" s="18" t="s">
        <v>1460</v>
      </c>
      <c r="O200" s="18"/>
      <c r="P200" s="18"/>
      <c r="Q200" s="18"/>
      <c r="R200" s="15"/>
      <c r="S200" s="15"/>
      <c r="T200" s="15"/>
      <c r="U200" s="15"/>
      <c r="V200" s="15"/>
    </row>
    <row r="201" spans="1:22" x14ac:dyDescent="0.25">
      <c r="A201">
        <v>186</v>
      </c>
      <c r="B201" t="s">
        <v>793</v>
      </c>
      <c r="C201" t="s">
        <v>711</v>
      </c>
      <c r="D201">
        <v>4699</v>
      </c>
      <c r="J201">
        <f t="shared" si="4"/>
        <v>4699</v>
      </c>
      <c r="K201" s="5">
        <f t="shared" si="5"/>
        <v>1.0351163496990904E-4</v>
      </c>
      <c r="L201" s="18" t="s">
        <v>1242</v>
      </c>
      <c r="M201" s="18"/>
      <c r="N201" s="20" t="s">
        <v>1391</v>
      </c>
      <c r="O201" s="18"/>
      <c r="P201" s="18"/>
      <c r="Q201" s="18"/>
      <c r="R201" s="15"/>
      <c r="S201" s="15"/>
      <c r="T201" s="15"/>
      <c r="U201" s="15"/>
      <c r="V201" s="15"/>
    </row>
    <row r="202" spans="1:22" x14ac:dyDescent="0.25">
      <c r="A202">
        <v>187</v>
      </c>
      <c r="B202" t="s">
        <v>794</v>
      </c>
      <c r="C202" t="s">
        <v>712</v>
      </c>
      <c r="D202">
        <v>4601</v>
      </c>
      <c r="J202">
        <f t="shared" si="4"/>
        <v>4601</v>
      </c>
      <c r="K202" s="5">
        <f t="shared" si="5"/>
        <v>1.0135284794563768E-4</v>
      </c>
      <c r="L202" s="18" t="s">
        <v>1243</v>
      </c>
      <c r="M202" s="18"/>
      <c r="N202" s="18" t="s">
        <v>1311</v>
      </c>
      <c r="O202" s="18"/>
      <c r="P202" s="18"/>
      <c r="Q202" s="18"/>
      <c r="R202" s="15"/>
      <c r="S202" s="15"/>
      <c r="T202" s="15"/>
      <c r="U202" s="15"/>
      <c r="V202" s="15"/>
    </row>
    <row r="203" spans="1:22" x14ac:dyDescent="0.25">
      <c r="A203">
        <v>188</v>
      </c>
      <c r="B203" t="s">
        <v>713</v>
      </c>
      <c r="C203" t="s">
        <v>713</v>
      </c>
      <c r="D203">
        <v>4581</v>
      </c>
      <c r="J203">
        <f t="shared" si="4"/>
        <v>4581</v>
      </c>
      <c r="K203" s="5">
        <f t="shared" si="5"/>
        <v>1.0091227916517414E-4</v>
      </c>
      <c r="L203" s="18" t="s">
        <v>1244</v>
      </c>
      <c r="M203" s="18"/>
      <c r="N203" s="18" t="s">
        <v>1389</v>
      </c>
      <c r="O203" s="18"/>
      <c r="P203" s="18"/>
      <c r="Q203" s="18"/>
      <c r="R203" s="15"/>
      <c r="S203" s="15"/>
      <c r="T203" s="15"/>
      <c r="U203" s="15"/>
      <c r="V203" s="15"/>
    </row>
    <row r="204" spans="1:22" x14ac:dyDescent="0.25">
      <c r="A204">
        <v>189</v>
      </c>
      <c r="B204" t="s">
        <v>714</v>
      </c>
      <c r="C204" t="s">
        <v>714</v>
      </c>
      <c r="D204">
        <v>4543</v>
      </c>
      <c r="J204">
        <f t="shared" si="4"/>
        <v>4543</v>
      </c>
      <c r="K204" s="5">
        <f t="shared" si="5"/>
        <v>1.0007519848229342E-4</v>
      </c>
      <c r="L204" s="18" t="s">
        <v>1245</v>
      </c>
      <c r="M204" s="18"/>
      <c r="N204" s="20" t="s">
        <v>1332</v>
      </c>
      <c r="O204" s="18"/>
      <c r="P204" s="18"/>
      <c r="Q204" s="18"/>
      <c r="R204" s="15"/>
      <c r="S204" s="15"/>
      <c r="T204" s="15"/>
      <c r="U204" s="15"/>
      <c r="V204" s="15"/>
    </row>
    <row r="205" spans="1:22" x14ac:dyDescent="0.25">
      <c r="A205">
        <v>190</v>
      </c>
      <c r="B205" t="s">
        <v>795</v>
      </c>
      <c r="C205" t="s">
        <v>715</v>
      </c>
      <c r="D205">
        <v>4510</v>
      </c>
      <c r="J205">
        <f t="shared" si="4"/>
        <v>4510</v>
      </c>
      <c r="K205" s="5">
        <f t="shared" si="5"/>
        <v>9.9348259994528577E-5</v>
      </c>
      <c r="L205" s="18" t="s">
        <v>1246</v>
      </c>
      <c r="M205" s="18"/>
      <c r="N205" s="18" t="s">
        <v>1393</v>
      </c>
      <c r="O205" s="18"/>
      <c r="P205" s="18"/>
      <c r="Q205" s="18"/>
      <c r="R205" s="15"/>
      <c r="S205" s="15"/>
      <c r="T205" s="15"/>
      <c r="U205" s="15"/>
      <c r="V205" s="15"/>
    </row>
    <row r="206" spans="1:22" x14ac:dyDescent="0.25">
      <c r="A206">
        <v>191</v>
      </c>
      <c r="B206" t="s">
        <v>716</v>
      </c>
      <c r="C206" t="s">
        <v>716</v>
      </c>
      <c r="D206">
        <v>4498</v>
      </c>
      <c r="J206">
        <f t="shared" si="4"/>
        <v>4498</v>
      </c>
      <c r="K206" s="5">
        <f t="shared" si="5"/>
        <v>9.9083918726250458E-5</v>
      </c>
      <c r="L206" s="18" t="s">
        <v>1247</v>
      </c>
      <c r="M206" s="18"/>
      <c r="N206" s="18" t="s">
        <v>1337</v>
      </c>
      <c r="O206" s="18"/>
      <c r="P206" s="18"/>
      <c r="Q206" s="18"/>
      <c r="R206" s="15"/>
      <c r="S206" s="15"/>
      <c r="T206" s="15"/>
      <c r="U206" s="15"/>
      <c r="V206" s="15"/>
    </row>
    <row r="207" spans="1:22" x14ac:dyDescent="0.25">
      <c r="A207">
        <v>192</v>
      </c>
      <c r="B207" t="s">
        <v>796</v>
      </c>
      <c r="C207" t="s">
        <v>717</v>
      </c>
      <c r="D207">
        <v>4434</v>
      </c>
      <c r="J207">
        <f t="shared" si="4"/>
        <v>4434</v>
      </c>
      <c r="K207" s="5">
        <f t="shared" si="5"/>
        <v>9.7674098628767114E-5</v>
      </c>
      <c r="L207" s="18" t="s">
        <v>1248</v>
      </c>
      <c r="M207" s="18"/>
      <c r="N207" s="18" t="s">
        <v>1306</v>
      </c>
      <c r="O207" s="18"/>
      <c r="P207" s="18"/>
      <c r="Q207" s="18"/>
      <c r="R207" s="15"/>
      <c r="S207" s="15"/>
      <c r="T207" s="15"/>
      <c r="U207" s="15"/>
      <c r="V207" s="15"/>
    </row>
    <row r="208" spans="1:22" x14ac:dyDescent="0.25">
      <c r="A208">
        <v>193</v>
      </c>
      <c r="B208" t="s">
        <v>797</v>
      </c>
      <c r="C208" t="s">
        <v>718</v>
      </c>
      <c r="D208">
        <v>4370</v>
      </c>
      <c r="J208">
        <f t="shared" ref="J208:J251" si="6">SUM(D208:I208)</f>
        <v>4370</v>
      </c>
      <c r="K208" s="5">
        <f t="shared" ref="K208:K251" si="7">J208/J$13</f>
        <v>9.6264278531283783E-5</v>
      </c>
      <c r="L208" s="18" t="s">
        <v>1249</v>
      </c>
      <c r="M208" s="18"/>
      <c r="N208" s="18" t="s">
        <v>1409</v>
      </c>
      <c r="O208" s="18"/>
      <c r="P208" s="18"/>
      <c r="Q208" s="18"/>
      <c r="R208" s="15"/>
      <c r="S208" s="15"/>
      <c r="T208" s="15"/>
      <c r="U208" s="15"/>
      <c r="V208" s="15"/>
    </row>
    <row r="209" spans="1:22" x14ac:dyDescent="0.25">
      <c r="A209">
        <v>194</v>
      </c>
      <c r="B209" t="s">
        <v>798</v>
      </c>
      <c r="C209" t="s">
        <v>719</v>
      </c>
      <c r="D209">
        <v>4301</v>
      </c>
      <c r="J209">
        <f t="shared" si="6"/>
        <v>4301</v>
      </c>
      <c r="K209" s="5">
        <f t="shared" si="7"/>
        <v>9.4744316238684571E-5</v>
      </c>
      <c r="L209" s="18" t="s">
        <v>1250</v>
      </c>
      <c r="M209" s="18"/>
      <c r="N209" s="18" t="s">
        <v>1451</v>
      </c>
      <c r="O209" s="18"/>
      <c r="P209" s="18"/>
      <c r="Q209" s="18"/>
      <c r="R209" s="15"/>
      <c r="S209" s="15"/>
      <c r="T209" s="15"/>
      <c r="U209" s="15"/>
      <c r="V209" s="15"/>
    </row>
    <row r="210" spans="1:22" x14ac:dyDescent="0.25">
      <c r="A210">
        <v>195</v>
      </c>
      <c r="B210" t="s">
        <v>720</v>
      </c>
      <c r="C210" t="s">
        <v>720</v>
      </c>
      <c r="D210">
        <v>4257</v>
      </c>
      <c r="J210">
        <f t="shared" si="6"/>
        <v>4257</v>
      </c>
      <c r="K210" s="5">
        <f t="shared" si="7"/>
        <v>9.3775064921664781E-5</v>
      </c>
      <c r="L210" s="18" t="s">
        <v>1251</v>
      </c>
      <c r="M210" s="18"/>
      <c r="N210" s="18" t="s">
        <v>1340</v>
      </c>
      <c r="O210" s="18"/>
      <c r="P210" s="18"/>
      <c r="Q210" s="18"/>
      <c r="R210" s="15"/>
      <c r="S210" s="15"/>
      <c r="T210" s="15"/>
      <c r="U210" s="15"/>
      <c r="V210" s="15"/>
    </row>
    <row r="211" spans="1:22" x14ac:dyDescent="0.25">
      <c r="A211">
        <v>196</v>
      </c>
      <c r="B211" t="s">
        <v>958</v>
      </c>
      <c r="C211" t="s">
        <v>957</v>
      </c>
      <c r="F211">
        <v>4199</v>
      </c>
      <c r="J211">
        <f t="shared" si="6"/>
        <v>4199</v>
      </c>
      <c r="K211" s="5">
        <f t="shared" si="7"/>
        <v>9.2497415458320503E-5</v>
      </c>
      <c r="L211" s="18" t="s">
        <v>1252</v>
      </c>
      <c r="M211" s="18"/>
      <c r="N211" s="18" t="s">
        <v>1464</v>
      </c>
      <c r="O211" s="18"/>
      <c r="P211" s="18"/>
      <c r="Q211" s="18"/>
      <c r="R211" s="15"/>
      <c r="S211" s="15"/>
      <c r="T211" s="15"/>
      <c r="U211" s="15"/>
      <c r="V211" s="15"/>
    </row>
    <row r="212" spans="1:22" x14ac:dyDescent="0.25">
      <c r="A212">
        <v>197</v>
      </c>
      <c r="B212" t="s">
        <v>721</v>
      </c>
      <c r="C212" t="s">
        <v>721</v>
      </c>
      <c r="D212">
        <v>4141</v>
      </c>
      <c r="J212">
        <f t="shared" si="6"/>
        <v>4141</v>
      </c>
      <c r="K212" s="5">
        <f t="shared" si="7"/>
        <v>9.1219765994976238E-5</v>
      </c>
      <c r="L212" s="18" t="s">
        <v>1253</v>
      </c>
      <c r="M212" s="18"/>
      <c r="N212" s="18" t="s">
        <v>1441</v>
      </c>
      <c r="O212" s="18"/>
      <c r="P212" s="18"/>
      <c r="Q212" s="18"/>
      <c r="R212" s="15"/>
      <c r="S212" s="15"/>
      <c r="T212" s="15"/>
      <c r="U212" s="15"/>
      <c r="V212" s="15"/>
    </row>
    <row r="213" spans="1:22" x14ac:dyDescent="0.25">
      <c r="A213">
        <v>198</v>
      </c>
      <c r="B213" t="s">
        <v>799</v>
      </c>
      <c r="C213" t="s">
        <v>722</v>
      </c>
      <c r="D213">
        <v>4063</v>
      </c>
      <c r="J213">
        <f t="shared" si="6"/>
        <v>4063</v>
      </c>
      <c r="K213" s="5">
        <f t="shared" si="7"/>
        <v>8.9501547751168434E-5</v>
      </c>
      <c r="L213" s="18" t="s">
        <v>1254</v>
      </c>
      <c r="M213" s="18"/>
      <c r="N213" s="18" t="s">
        <v>1465</v>
      </c>
      <c r="O213" s="18"/>
      <c r="P213" s="18"/>
      <c r="Q213" s="18"/>
      <c r="R213" s="15"/>
      <c r="S213" s="15"/>
      <c r="T213" s="15"/>
      <c r="U213" s="15"/>
      <c r="V213" s="15"/>
    </row>
    <row r="214" spans="1:22" x14ac:dyDescent="0.25">
      <c r="A214">
        <v>199</v>
      </c>
      <c r="B214" t="s">
        <v>800</v>
      </c>
      <c r="C214" t="s">
        <v>723</v>
      </c>
      <c r="D214">
        <v>4027</v>
      </c>
      <c r="J214">
        <f t="shared" si="6"/>
        <v>4027</v>
      </c>
      <c r="K214" s="5">
        <f t="shared" si="7"/>
        <v>8.8708523946334051E-5</v>
      </c>
      <c r="L214" s="18" t="s">
        <v>1255</v>
      </c>
      <c r="M214" s="18"/>
      <c r="N214" s="18" t="s">
        <v>1449</v>
      </c>
      <c r="O214" s="18"/>
      <c r="P214" s="18"/>
      <c r="Q214" s="18"/>
      <c r="R214" s="15"/>
      <c r="S214" s="15"/>
      <c r="T214" s="15"/>
      <c r="U214" s="15"/>
      <c r="V214" s="15"/>
    </row>
    <row r="215" spans="1:22" x14ac:dyDescent="0.25">
      <c r="A215">
        <v>200</v>
      </c>
      <c r="B215" t="s">
        <v>724</v>
      </c>
      <c r="C215" t="s">
        <v>724</v>
      </c>
      <c r="D215">
        <v>3973</v>
      </c>
      <c r="J215">
        <f t="shared" si="6"/>
        <v>3973</v>
      </c>
      <c r="K215" s="5">
        <f t="shared" si="7"/>
        <v>8.7518988239082497E-5</v>
      </c>
      <c r="L215" s="18" t="s">
        <v>1256</v>
      </c>
      <c r="M215" s="18"/>
      <c r="N215" s="18" t="s">
        <v>1454</v>
      </c>
      <c r="O215" s="18"/>
      <c r="P215" s="18"/>
      <c r="Q215" s="18"/>
      <c r="R215" s="15"/>
      <c r="S215" s="15"/>
      <c r="T215" s="15"/>
      <c r="U215" s="15"/>
      <c r="V215" s="15"/>
    </row>
    <row r="216" spans="1:22" x14ac:dyDescent="0.25">
      <c r="A216">
        <v>201</v>
      </c>
      <c r="B216" t="s">
        <v>725</v>
      </c>
      <c r="C216" t="s">
        <v>725</v>
      </c>
      <c r="D216">
        <v>3953</v>
      </c>
      <c r="J216">
        <f t="shared" si="6"/>
        <v>3953</v>
      </c>
      <c r="K216" s="5">
        <f t="shared" si="7"/>
        <v>8.7078419458618944E-5</v>
      </c>
      <c r="L216" s="18" t="s">
        <v>1257</v>
      </c>
      <c r="M216" s="18"/>
      <c r="N216" s="18" t="s">
        <v>1459</v>
      </c>
      <c r="O216" s="18"/>
      <c r="P216" s="18"/>
      <c r="Q216" s="18"/>
      <c r="R216" s="15"/>
      <c r="S216" s="15"/>
      <c r="T216" s="15"/>
      <c r="U216" s="15"/>
      <c r="V216" s="15"/>
    </row>
    <row r="217" spans="1:22" x14ac:dyDescent="0.25">
      <c r="A217">
        <v>202</v>
      </c>
      <c r="B217" t="s">
        <v>801</v>
      </c>
      <c r="C217" t="s">
        <v>726</v>
      </c>
      <c r="D217">
        <v>3877</v>
      </c>
      <c r="J217">
        <f t="shared" si="6"/>
        <v>3877</v>
      </c>
      <c r="K217" s="5">
        <f t="shared" si="7"/>
        <v>8.5404258092857495E-5</v>
      </c>
      <c r="L217" s="18" t="s">
        <v>1258</v>
      </c>
      <c r="M217" s="18"/>
      <c r="N217" s="20" t="s">
        <v>1375</v>
      </c>
      <c r="O217" s="18"/>
      <c r="P217" s="18"/>
      <c r="Q217" s="18"/>
      <c r="R217" s="15"/>
      <c r="S217" s="15"/>
      <c r="T217" s="15"/>
      <c r="U217" s="15"/>
      <c r="V217" s="15"/>
    </row>
    <row r="218" spans="1:22" x14ac:dyDescent="0.25">
      <c r="A218">
        <v>203</v>
      </c>
      <c r="B218" t="s">
        <v>727</v>
      </c>
      <c r="C218" t="s">
        <v>727</v>
      </c>
      <c r="D218">
        <v>3789</v>
      </c>
      <c r="J218">
        <f t="shared" si="6"/>
        <v>3789</v>
      </c>
      <c r="K218" s="5">
        <f t="shared" si="7"/>
        <v>8.3465755458817913E-5</v>
      </c>
      <c r="L218" s="18" t="s">
        <v>1259</v>
      </c>
      <c r="M218" s="18"/>
      <c r="N218" s="18" t="s">
        <v>1330</v>
      </c>
      <c r="O218" s="18"/>
      <c r="P218" s="18"/>
      <c r="Q218" s="18"/>
      <c r="R218" s="15"/>
      <c r="S218" s="15"/>
      <c r="T218" s="15"/>
      <c r="U218" s="15"/>
      <c r="V218" s="15"/>
    </row>
    <row r="219" spans="1:22" x14ac:dyDescent="0.25">
      <c r="A219">
        <v>204</v>
      </c>
      <c r="B219" t="s">
        <v>728</v>
      </c>
      <c r="C219" t="s">
        <v>728</v>
      </c>
      <c r="D219">
        <v>3771</v>
      </c>
      <c r="J219">
        <f t="shared" si="6"/>
        <v>3771</v>
      </c>
      <c r="K219" s="5">
        <f t="shared" si="7"/>
        <v>8.3069243556400729E-5</v>
      </c>
      <c r="L219" s="18" t="s">
        <v>1260</v>
      </c>
      <c r="M219" s="18"/>
      <c r="N219" s="18" t="s">
        <v>1416</v>
      </c>
      <c r="O219" s="18"/>
      <c r="P219" s="18"/>
      <c r="Q219" s="18"/>
      <c r="R219" s="15"/>
      <c r="S219" s="15"/>
      <c r="T219" s="15"/>
      <c r="U219" s="15"/>
      <c r="V219" s="15"/>
    </row>
    <row r="220" spans="1:22" x14ac:dyDescent="0.25">
      <c r="A220">
        <v>205</v>
      </c>
      <c r="B220" t="s">
        <v>1292</v>
      </c>
      <c r="C220" t="s">
        <v>960</v>
      </c>
      <c r="F220">
        <v>3710</v>
      </c>
      <c r="J220">
        <f t="shared" si="6"/>
        <v>3710</v>
      </c>
      <c r="K220" s="5">
        <f t="shared" si="7"/>
        <v>8.1725508775986924E-5</v>
      </c>
      <c r="L220" s="21" t="s">
        <v>1261</v>
      </c>
      <c r="M220" s="18"/>
      <c r="N220" s="18" t="s">
        <v>1452</v>
      </c>
      <c r="O220" s="18"/>
      <c r="P220" s="18"/>
      <c r="Q220" s="18"/>
      <c r="R220" s="15"/>
      <c r="S220" s="15"/>
      <c r="T220" s="15"/>
      <c r="U220" s="15"/>
      <c r="V220" s="15"/>
    </row>
    <row r="221" spans="1:22" x14ac:dyDescent="0.25">
      <c r="A221">
        <v>206</v>
      </c>
      <c r="B221" t="s">
        <v>729</v>
      </c>
      <c r="C221" t="s">
        <v>729</v>
      </c>
      <c r="D221">
        <v>3693</v>
      </c>
      <c r="J221">
        <f t="shared" si="6"/>
        <v>3693</v>
      </c>
      <c r="K221" s="5">
        <f t="shared" si="7"/>
        <v>8.1351025312592911E-5</v>
      </c>
      <c r="L221" s="18" t="s">
        <v>1262</v>
      </c>
      <c r="M221" s="18"/>
      <c r="N221" s="21" t="s">
        <v>1399</v>
      </c>
      <c r="O221" s="18"/>
      <c r="P221" s="18"/>
      <c r="Q221" s="18"/>
      <c r="R221" s="15"/>
      <c r="S221" s="15"/>
      <c r="T221" s="15"/>
      <c r="U221" s="15"/>
      <c r="V221" s="15"/>
    </row>
    <row r="222" spans="1:22" x14ac:dyDescent="0.25">
      <c r="A222">
        <v>207</v>
      </c>
      <c r="B222" t="s">
        <v>802</v>
      </c>
      <c r="C222" t="s">
        <v>731</v>
      </c>
      <c r="D222">
        <v>3669</v>
      </c>
      <c r="J222">
        <f t="shared" si="6"/>
        <v>3669</v>
      </c>
      <c r="K222" s="5">
        <f t="shared" si="7"/>
        <v>8.082234277603666E-5</v>
      </c>
      <c r="L222" s="18" t="s">
        <v>1263</v>
      </c>
      <c r="M222" s="18"/>
      <c r="N222" s="18" t="s">
        <v>1450</v>
      </c>
      <c r="O222" s="18"/>
      <c r="P222" s="18"/>
      <c r="Q222" s="18"/>
      <c r="R222" s="15"/>
      <c r="S222" s="15"/>
      <c r="T222" s="15"/>
      <c r="U222" s="15"/>
      <c r="V222" s="15"/>
    </row>
    <row r="223" spans="1:22" x14ac:dyDescent="0.25">
      <c r="A223">
        <v>208</v>
      </c>
      <c r="B223" t="s">
        <v>803</v>
      </c>
      <c r="C223" t="s">
        <v>732</v>
      </c>
      <c r="D223">
        <v>3635</v>
      </c>
      <c r="J223">
        <f t="shared" si="6"/>
        <v>3635</v>
      </c>
      <c r="K223" s="5">
        <f t="shared" si="7"/>
        <v>8.0073375849248646E-5</v>
      </c>
      <c r="L223" s="18" t="s">
        <v>1264</v>
      </c>
      <c r="M223" s="18"/>
      <c r="N223" s="18" t="s">
        <v>1415</v>
      </c>
      <c r="O223" s="18"/>
      <c r="P223" s="18"/>
      <c r="Q223" s="18"/>
      <c r="R223" s="15"/>
      <c r="S223" s="15"/>
      <c r="T223" s="15"/>
      <c r="U223" s="15"/>
      <c r="V223" s="15"/>
    </row>
    <row r="224" spans="1:22" x14ac:dyDescent="0.25">
      <c r="A224">
        <v>209</v>
      </c>
      <c r="B224" t="s">
        <v>804</v>
      </c>
      <c r="C224" t="s">
        <v>733</v>
      </c>
      <c r="D224">
        <v>3621</v>
      </c>
      <c r="J224">
        <f t="shared" si="6"/>
        <v>3621</v>
      </c>
      <c r="K224" s="5">
        <f t="shared" si="7"/>
        <v>7.9764977702924159E-5</v>
      </c>
      <c r="L224" s="21" t="s">
        <v>1295</v>
      </c>
      <c r="M224" s="18"/>
      <c r="N224" s="18" t="s">
        <v>1478</v>
      </c>
      <c r="O224" s="18"/>
      <c r="P224" s="18"/>
      <c r="Q224" s="18"/>
      <c r="R224" s="15"/>
      <c r="S224" s="15"/>
      <c r="T224" s="15"/>
      <c r="U224" s="15"/>
      <c r="V224" s="15"/>
    </row>
    <row r="225" spans="1:22" x14ac:dyDescent="0.25">
      <c r="A225">
        <v>210</v>
      </c>
      <c r="B225" t="s">
        <v>805</v>
      </c>
      <c r="C225" t="s">
        <v>734</v>
      </c>
      <c r="D225">
        <v>3531</v>
      </c>
      <c r="J225">
        <f t="shared" si="6"/>
        <v>3531</v>
      </c>
      <c r="K225" s="5">
        <f t="shared" si="7"/>
        <v>7.7782418190838222E-5</v>
      </c>
      <c r="L225" s="18" t="s">
        <v>1265</v>
      </c>
      <c r="M225" s="18"/>
      <c r="N225" s="18" t="s">
        <v>1406</v>
      </c>
      <c r="O225" s="18"/>
      <c r="P225" s="18"/>
      <c r="Q225" s="18"/>
      <c r="R225" s="15"/>
      <c r="S225" s="15"/>
      <c r="T225" s="15"/>
      <c r="U225" s="15"/>
      <c r="V225" s="15"/>
    </row>
    <row r="226" spans="1:22" x14ac:dyDescent="0.25">
      <c r="A226">
        <v>211</v>
      </c>
      <c r="B226" t="s">
        <v>806</v>
      </c>
      <c r="C226" t="s">
        <v>735</v>
      </c>
      <c r="D226">
        <v>3497</v>
      </c>
      <c r="J226">
        <f t="shared" si="6"/>
        <v>3497</v>
      </c>
      <c r="K226" s="5">
        <f t="shared" si="7"/>
        <v>7.7033451264050208E-5</v>
      </c>
      <c r="L226" s="18" t="s">
        <v>1266</v>
      </c>
      <c r="M226" s="18"/>
      <c r="N226" s="18" t="s">
        <v>1432</v>
      </c>
      <c r="O226" s="18"/>
      <c r="P226" s="18"/>
      <c r="Q226" s="18"/>
      <c r="R226" s="15"/>
      <c r="S226" s="15"/>
      <c r="T226" s="15"/>
      <c r="U226" s="15"/>
      <c r="V226" s="15"/>
    </row>
    <row r="227" spans="1:22" x14ac:dyDescent="0.25">
      <c r="A227">
        <v>212</v>
      </c>
      <c r="B227" t="s">
        <v>807</v>
      </c>
      <c r="C227" t="s">
        <v>736</v>
      </c>
      <c r="D227">
        <v>3441</v>
      </c>
      <c r="J227">
        <f t="shared" si="6"/>
        <v>3441</v>
      </c>
      <c r="K227" s="5">
        <f t="shared" si="7"/>
        <v>7.5799858678752286E-5</v>
      </c>
      <c r="L227" s="18" t="s">
        <v>1267</v>
      </c>
      <c r="M227" s="18"/>
      <c r="N227" s="18" t="s">
        <v>1410</v>
      </c>
      <c r="O227" s="18"/>
      <c r="P227" s="18"/>
      <c r="Q227" s="18"/>
      <c r="R227" s="15"/>
      <c r="S227" s="15"/>
      <c r="T227" s="15"/>
      <c r="U227" s="15"/>
      <c r="V227" s="15"/>
    </row>
    <row r="228" spans="1:22" x14ac:dyDescent="0.25">
      <c r="A228">
        <v>213</v>
      </c>
      <c r="B228" t="s">
        <v>737</v>
      </c>
      <c r="C228" t="s">
        <v>737</v>
      </c>
      <c r="D228">
        <v>3330</v>
      </c>
      <c r="J228">
        <f t="shared" si="6"/>
        <v>3330</v>
      </c>
      <c r="K228" s="5">
        <f t="shared" si="7"/>
        <v>7.3354701947179638E-5</v>
      </c>
      <c r="L228" s="18" t="s">
        <v>1268</v>
      </c>
      <c r="M228" s="18"/>
      <c r="N228" s="18" t="s">
        <v>1355</v>
      </c>
      <c r="O228" s="18"/>
      <c r="P228" s="18"/>
      <c r="Q228" s="18"/>
      <c r="R228" s="15"/>
      <c r="S228" s="15"/>
      <c r="T228" s="15"/>
      <c r="U228" s="15"/>
      <c r="V228" s="15"/>
    </row>
    <row r="229" spans="1:22" x14ac:dyDescent="0.25">
      <c r="A229">
        <v>214</v>
      </c>
      <c r="B229" t="s">
        <v>808</v>
      </c>
      <c r="C229" t="s">
        <v>738</v>
      </c>
      <c r="D229">
        <v>3201</v>
      </c>
      <c r="J229">
        <f t="shared" si="6"/>
        <v>3201</v>
      </c>
      <c r="K229" s="5">
        <f t="shared" si="7"/>
        <v>7.0513033313189793E-5</v>
      </c>
      <c r="L229" s="18" t="s">
        <v>1269</v>
      </c>
      <c r="M229" s="18"/>
      <c r="N229" s="18" t="s">
        <v>1413</v>
      </c>
      <c r="O229" s="18"/>
      <c r="P229" s="18"/>
      <c r="Q229" s="18"/>
      <c r="R229" s="15"/>
      <c r="S229" s="15"/>
      <c r="T229" s="15"/>
      <c r="U229" s="15"/>
      <c r="V229" s="15"/>
    </row>
    <row r="230" spans="1:22" x14ac:dyDescent="0.25">
      <c r="A230">
        <v>215</v>
      </c>
      <c r="B230" t="s">
        <v>739</v>
      </c>
      <c r="C230" t="s">
        <v>739</v>
      </c>
      <c r="D230">
        <v>3185</v>
      </c>
      <c r="J230">
        <f t="shared" si="6"/>
        <v>3185</v>
      </c>
      <c r="K230" s="5">
        <f t="shared" si="7"/>
        <v>7.0160578288818964E-5</v>
      </c>
      <c r="L230" s="18" t="s">
        <v>1270</v>
      </c>
      <c r="M230" s="18"/>
      <c r="N230" s="18" t="s">
        <v>1461</v>
      </c>
      <c r="O230" s="18"/>
      <c r="P230" s="18"/>
      <c r="Q230" s="18"/>
      <c r="R230" s="15"/>
      <c r="S230" s="15"/>
      <c r="T230" s="15"/>
      <c r="U230" s="15"/>
      <c r="V230" s="15"/>
    </row>
    <row r="231" spans="1:22" x14ac:dyDescent="0.25">
      <c r="A231">
        <v>216</v>
      </c>
      <c r="B231" t="s">
        <v>740</v>
      </c>
      <c r="C231" t="s">
        <v>740</v>
      </c>
      <c r="D231">
        <v>3135</v>
      </c>
      <c r="J231">
        <f t="shared" si="6"/>
        <v>3135</v>
      </c>
      <c r="K231" s="5">
        <f t="shared" si="7"/>
        <v>6.9059156337660107E-5</v>
      </c>
      <c r="L231" s="18" t="s">
        <v>1271</v>
      </c>
      <c r="M231" s="18"/>
      <c r="N231" s="18" t="s">
        <v>1446</v>
      </c>
      <c r="O231" s="18"/>
      <c r="P231" s="18"/>
      <c r="Q231" s="18"/>
      <c r="R231" s="15"/>
      <c r="S231" s="15"/>
      <c r="T231" s="15"/>
      <c r="U231" s="15"/>
      <c r="V231" s="15"/>
    </row>
    <row r="232" spans="1:22" x14ac:dyDescent="0.25">
      <c r="A232">
        <v>217</v>
      </c>
      <c r="B232" t="s">
        <v>809</v>
      </c>
      <c r="C232" t="s">
        <v>741</v>
      </c>
      <c r="D232">
        <v>3064</v>
      </c>
      <c r="J232">
        <f t="shared" si="6"/>
        <v>3064</v>
      </c>
      <c r="K232" s="5">
        <f t="shared" si="7"/>
        <v>6.7495137167014539E-5</v>
      </c>
      <c r="L232" s="18" t="s">
        <v>1272</v>
      </c>
      <c r="M232" s="18"/>
      <c r="N232" s="18" t="s">
        <v>1323</v>
      </c>
      <c r="O232" s="18"/>
      <c r="P232" s="18"/>
      <c r="Q232" s="18"/>
      <c r="R232" s="15"/>
      <c r="S232" s="15"/>
      <c r="T232" s="15"/>
      <c r="U232" s="15"/>
      <c r="V232" s="15"/>
    </row>
    <row r="233" spans="1:22" x14ac:dyDescent="0.25">
      <c r="A233">
        <v>218</v>
      </c>
      <c r="B233" t="s">
        <v>810</v>
      </c>
      <c r="C233" t="s">
        <v>742</v>
      </c>
      <c r="D233">
        <v>3006</v>
      </c>
      <c r="J233">
        <f t="shared" si="6"/>
        <v>3006</v>
      </c>
      <c r="K233" s="5">
        <f t="shared" si="7"/>
        <v>6.6217487703670261E-5</v>
      </c>
      <c r="L233" s="18" t="s">
        <v>1273</v>
      </c>
      <c r="M233" s="18"/>
      <c r="N233" s="18" t="s">
        <v>1479</v>
      </c>
      <c r="O233" s="18"/>
      <c r="P233" s="18"/>
      <c r="Q233" s="18"/>
      <c r="R233" s="15"/>
      <c r="S233" s="15"/>
      <c r="T233" s="15"/>
      <c r="U233" s="15"/>
      <c r="V233" s="15"/>
    </row>
    <row r="234" spans="1:22" x14ac:dyDescent="0.25">
      <c r="A234">
        <v>219</v>
      </c>
      <c r="B234" t="s">
        <v>811</v>
      </c>
      <c r="C234" t="s">
        <v>743</v>
      </c>
      <c r="D234">
        <v>2959</v>
      </c>
      <c r="J234">
        <f t="shared" si="6"/>
        <v>2959</v>
      </c>
      <c r="K234" s="5">
        <f t="shared" si="7"/>
        <v>6.5182151069580945E-5</v>
      </c>
      <c r="L234" s="18" t="s">
        <v>1274</v>
      </c>
      <c r="M234" s="18"/>
      <c r="N234" s="18" t="s">
        <v>1419</v>
      </c>
      <c r="O234" s="18"/>
      <c r="P234" s="18"/>
      <c r="Q234" s="18"/>
      <c r="R234" s="15"/>
      <c r="S234" s="15"/>
      <c r="T234" s="15"/>
      <c r="U234" s="15"/>
      <c r="V234" s="15"/>
    </row>
    <row r="235" spans="1:22" x14ac:dyDescent="0.25">
      <c r="A235">
        <v>220</v>
      </c>
      <c r="B235" t="s">
        <v>968</v>
      </c>
      <c r="C235" t="s">
        <v>967</v>
      </c>
      <c r="F235">
        <v>2957</v>
      </c>
      <c r="J235">
        <f t="shared" si="6"/>
        <v>2957</v>
      </c>
      <c r="K235" s="5">
        <f t="shared" si="7"/>
        <v>6.5138094191534589E-5</v>
      </c>
      <c r="L235" s="18" t="s">
        <v>1275</v>
      </c>
      <c r="M235" s="18"/>
      <c r="N235" s="18" t="s">
        <v>1315</v>
      </c>
      <c r="O235" s="18"/>
      <c r="P235" s="18"/>
      <c r="Q235" s="18"/>
      <c r="R235" s="15"/>
      <c r="S235" s="15"/>
      <c r="T235" s="15"/>
      <c r="U235" s="15"/>
      <c r="V235" s="15"/>
    </row>
    <row r="236" spans="1:22" x14ac:dyDescent="0.25">
      <c r="A236">
        <v>221</v>
      </c>
      <c r="B236" t="s">
        <v>77</v>
      </c>
      <c r="C236" t="s">
        <v>967</v>
      </c>
      <c r="F236">
        <v>2957</v>
      </c>
      <c r="J236">
        <f t="shared" si="6"/>
        <v>2957</v>
      </c>
      <c r="K236" s="5">
        <f t="shared" si="7"/>
        <v>6.5138094191534589E-5</v>
      </c>
      <c r="L236" s="18" t="s">
        <v>1276</v>
      </c>
      <c r="M236" s="18"/>
      <c r="N236" s="18" t="s">
        <v>180</v>
      </c>
      <c r="O236" s="18"/>
      <c r="P236" s="18"/>
      <c r="Q236" s="18"/>
      <c r="R236" s="15"/>
      <c r="S236" s="15"/>
      <c r="T236" s="15"/>
      <c r="U236" s="15"/>
      <c r="V236" s="15"/>
    </row>
    <row r="237" spans="1:22" x14ac:dyDescent="0.25">
      <c r="A237">
        <v>222</v>
      </c>
      <c r="B237" t="s">
        <v>744</v>
      </c>
      <c r="C237" t="s">
        <v>744</v>
      </c>
      <c r="D237">
        <v>2945</v>
      </c>
      <c r="J237">
        <f t="shared" si="6"/>
        <v>2945</v>
      </c>
      <c r="K237" s="5">
        <f t="shared" si="7"/>
        <v>6.4873752923256471E-5</v>
      </c>
      <c r="L237" s="18" t="s">
        <v>1277</v>
      </c>
      <c r="M237" s="18"/>
      <c r="N237" s="18" t="s">
        <v>1313</v>
      </c>
      <c r="O237" s="18"/>
      <c r="P237" s="18"/>
      <c r="Q237" s="18"/>
      <c r="R237" s="15"/>
      <c r="S237" s="15"/>
      <c r="T237" s="15"/>
      <c r="U237" s="15"/>
      <c r="V237" s="15"/>
    </row>
    <row r="238" spans="1:22" x14ac:dyDescent="0.25">
      <c r="A238">
        <v>223</v>
      </c>
      <c r="B238" t="s">
        <v>812</v>
      </c>
      <c r="C238" t="s">
        <v>745</v>
      </c>
      <c r="D238">
        <v>2940</v>
      </c>
      <c r="J238">
        <f t="shared" si="6"/>
        <v>2940</v>
      </c>
      <c r="K238" s="5">
        <f t="shared" si="7"/>
        <v>6.4763610728140575E-5</v>
      </c>
      <c r="L238" s="18" t="s">
        <v>1278</v>
      </c>
      <c r="M238" s="18"/>
      <c r="N238" s="21" t="s">
        <v>1343</v>
      </c>
      <c r="O238" s="18"/>
      <c r="P238" s="18"/>
      <c r="Q238" s="18"/>
      <c r="R238" s="15"/>
      <c r="S238" s="15"/>
      <c r="T238" s="15"/>
      <c r="U238" s="15"/>
      <c r="V238" s="15"/>
    </row>
    <row r="239" spans="1:22" x14ac:dyDescent="0.25">
      <c r="A239">
        <v>224</v>
      </c>
      <c r="B239" t="s">
        <v>813</v>
      </c>
      <c r="C239" t="s">
        <v>746</v>
      </c>
      <c r="D239">
        <v>2928</v>
      </c>
      <c r="J239">
        <f t="shared" si="6"/>
        <v>2928</v>
      </c>
      <c r="K239" s="5">
        <f t="shared" si="7"/>
        <v>6.4499269459862457E-5</v>
      </c>
      <c r="L239" s="18" t="s">
        <v>1279</v>
      </c>
      <c r="M239" s="18"/>
      <c r="N239" s="18" t="s">
        <v>1344</v>
      </c>
      <c r="O239" s="18"/>
      <c r="P239" s="18"/>
      <c r="Q239" s="18"/>
      <c r="R239" s="15"/>
      <c r="S239" s="15"/>
      <c r="T239" s="15"/>
      <c r="U239" s="15"/>
      <c r="V239" s="15"/>
    </row>
    <row r="240" spans="1:22" x14ac:dyDescent="0.25">
      <c r="A240">
        <v>225</v>
      </c>
      <c r="B240" t="s">
        <v>747</v>
      </c>
      <c r="C240" t="s">
        <v>747</v>
      </c>
      <c r="D240">
        <v>2925</v>
      </c>
      <c r="J240">
        <f t="shared" si="6"/>
        <v>2925</v>
      </c>
      <c r="K240" s="5">
        <f t="shared" si="7"/>
        <v>6.4433184142792917E-5</v>
      </c>
      <c r="L240" s="18" t="s">
        <v>1280</v>
      </c>
      <c r="M240" s="18"/>
      <c r="N240" s="18" t="s">
        <v>1387</v>
      </c>
      <c r="O240" s="18"/>
      <c r="P240" s="18"/>
      <c r="Q240" s="18"/>
      <c r="R240" s="15"/>
      <c r="S240" s="15"/>
      <c r="T240" s="15"/>
      <c r="U240" s="15"/>
      <c r="V240" s="15"/>
    </row>
    <row r="241" spans="1:22" x14ac:dyDescent="0.25">
      <c r="A241">
        <v>226</v>
      </c>
      <c r="B241" t="s">
        <v>814</v>
      </c>
      <c r="C241" t="s">
        <v>748</v>
      </c>
      <c r="D241">
        <v>2888</v>
      </c>
      <c r="J241">
        <f t="shared" si="6"/>
        <v>2888</v>
      </c>
      <c r="K241" s="5">
        <f t="shared" si="7"/>
        <v>6.3618131898935377E-5</v>
      </c>
      <c r="L241" s="18" t="s">
        <v>1281</v>
      </c>
      <c r="M241" s="18"/>
      <c r="N241" s="18" t="s">
        <v>1407</v>
      </c>
      <c r="O241" s="18"/>
      <c r="P241" s="18"/>
      <c r="Q241" s="18"/>
      <c r="R241" s="15"/>
      <c r="S241" s="15"/>
      <c r="T241" s="15"/>
      <c r="U241" s="15"/>
      <c r="V241" s="15"/>
    </row>
    <row r="242" spans="1:22" x14ac:dyDescent="0.25">
      <c r="A242">
        <v>227</v>
      </c>
      <c r="B242" t="s">
        <v>749</v>
      </c>
      <c r="C242" t="s">
        <v>749</v>
      </c>
      <c r="D242">
        <v>2884</v>
      </c>
      <c r="J242">
        <f t="shared" si="6"/>
        <v>2884</v>
      </c>
      <c r="K242" s="5">
        <f t="shared" si="7"/>
        <v>6.3530018142842666E-5</v>
      </c>
      <c r="L242" s="18" t="s">
        <v>1282</v>
      </c>
      <c r="M242" s="18"/>
      <c r="N242" s="18" t="s">
        <v>1308</v>
      </c>
      <c r="O242" s="18"/>
      <c r="P242" s="18"/>
      <c r="Q242" s="18"/>
      <c r="R242" s="15"/>
      <c r="S242" s="15"/>
      <c r="T242" s="15"/>
      <c r="U242" s="15"/>
      <c r="V242" s="15"/>
    </row>
    <row r="243" spans="1:22" x14ac:dyDescent="0.25">
      <c r="A243">
        <v>228</v>
      </c>
      <c r="B243" t="s">
        <v>815</v>
      </c>
      <c r="C243" t="s">
        <v>750</v>
      </c>
      <c r="D243">
        <v>2879</v>
      </c>
      <c r="J243">
        <f t="shared" si="6"/>
        <v>2879</v>
      </c>
      <c r="K243" s="5">
        <f t="shared" si="7"/>
        <v>6.3419875947726785E-5</v>
      </c>
      <c r="L243" s="18" t="s">
        <v>1283</v>
      </c>
      <c r="M243" s="18"/>
      <c r="N243" s="18" t="s">
        <v>1370</v>
      </c>
      <c r="O243" s="18"/>
      <c r="P243" s="18"/>
      <c r="Q243" s="18"/>
      <c r="R243" s="15"/>
      <c r="S243" s="15"/>
      <c r="T243" s="15"/>
      <c r="U243" s="15"/>
      <c r="V243" s="15"/>
    </row>
    <row r="244" spans="1:22" x14ac:dyDescent="0.25">
      <c r="A244">
        <v>229</v>
      </c>
      <c r="B244" t="s">
        <v>751</v>
      </c>
      <c r="C244" t="s">
        <v>751</v>
      </c>
      <c r="D244">
        <v>2870</v>
      </c>
      <c r="J244">
        <f t="shared" si="6"/>
        <v>2870</v>
      </c>
      <c r="K244" s="5">
        <f t="shared" si="7"/>
        <v>6.3221619996518179E-5</v>
      </c>
      <c r="L244" s="18" t="s">
        <v>1284</v>
      </c>
      <c r="M244" s="18"/>
      <c r="N244" s="18" t="s">
        <v>1444</v>
      </c>
      <c r="O244" s="18"/>
      <c r="P244" s="18"/>
      <c r="Q244" s="18"/>
      <c r="R244" s="15"/>
      <c r="S244" s="15"/>
      <c r="T244" s="15"/>
      <c r="U244" s="15"/>
      <c r="V244" s="15"/>
    </row>
    <row r="245" spans="1:22" x14ac:dyDescent="0.25">
      <c r="A245">
        <v>230</v>
      </c>
      <c r="B245" t="s">
        <v>816</v>
      </c>
      <c r="C245" t="s">
        <v>752</v>
      </c>
      <c r="D245">
        <v>2827</v>
      </c>
      <c r="J245">
        <f t="shared" si="6"/>
        <v>2827</v>
      </c>
      <c r="K245" s="5">
        <f t="shared" si="7"/>
        <v>6.2274397118521573E-5</v>
      </c>
      <c r="L245" s="18" t="s">
        <v>1285</v>
      </c>
      <c r="M245" s="18"/>
      <c r="N245" s="18" t="s">
        <v>1382</v>
      </c>
      <c r="O245" s="18"/>
      <c r="P245" s="18"/>
      <c r="Q245" s="18"/>
      <c r="R245" s="15"/>
      <c r="S245" s="15"/>
      <c r="T245" s="15"/>
      <c r="U245" s="15"/>
      <c r="V245" s="15"/>
    </row>
    <row r="246" spans="1:22" x14ac:dyDescent="0.25">
      <c r="A246">
        <v>231</v>
      </c>
      <c r="B246" t="s">
        <v>817</v>
      </c>
      <c r="C246" t="s">
        <v>753</v>
      </c>
      <c r="D246">
        <v>2763</v>
      </c>
      <c r="J246">
        <f t="shared" si="6"/>
        <v>2763</v>
      </c>
      <c r="K246" s="5">
        <f t="shared" si="7"/>
        <v>6.0864577021038235E-5</v>
      </c>
      <c r="L246" s="18" t="s">
        <v>1286</v>
      </c>
      <c r="M246" s="18"/>
      <c r="N246" s="18" t="s">
        <v>1341</v>
      </c>
      <c r="O246" s="18"/>
      <c r="P246" s="18"/>
      <c r="Q246" s="18"/>
      <c r="R246" s="15"/>
      <c r="S246" s="15"/>
      <c r="T246" s="15"/>
      <c r="U246" s="15"/>
      <c r="V246" s="15"/>
    </row>
    <row r="247" spans="1:22" x14ac:dyDescent="0.25">
      <c r="A247">
        <v>232</v>
      </c>
      <c r="B247" t="s">
        <v>754</v>
      </c>
      <c r="C247" t="s">
        <v>754</v>
      </c>
      <c r="D247">
        <v>2659</v>
      </c>
      <c r="J247">
        <f t="shared" si="6"/>
        <v>2659</v>
      </c>
      <c r="K247" s="5">
        <f t="shared" si="7"/>
        <v>5.8573619362627825E-5</v>
      </c>
      <c r="L247" s="18" t="s">
        <v>1287</v>
      </c>
      <c r="M247" s="18"/>
      <c r="N247" s="21" t="s">
        <v>1437</v>
      </c>
      <c r="O247" s="18"/>
      <c r="P247" s="18"/>
      <c r="Q247" s="18"/>
      <c r="R247" s="15"/>
      <c r="S247" s="15"/>
      <c r="T247" s="15"/>
      <c r="U247" s="15"/>
      <c r="V247" s="15"/>
    </row>
    <row r="248" spans="1:22" x14ac:dyDescent="0.25">
      <c r="A248">
        <v>233</v>
      </c>
      <c r="B248" t="s">
        <v>755</v>
      </c>
      <c r="C248" t="s">
        <v>755</v>
      </c>
      <c r="D248">
        <v>2638</v>
      </c>
      <c r="J248">
        <f t="shared" si="6"/>
        <v>2638</v>
      </c>
      <c r="K248" s="5">
        <f t="shared" si="7"/>
        <v>5.8111022143141107E-5</v>
      </c>
      <c r="L248" s="18" t="s">
        <v>1288</v>
      </c>
      <c r="M248" s="18"/>
      <c r="N248" s="18" t="s">
        <v>1318</v>
      </c>
      <c r="O248" s="18"/>
      <c r="P248" s="18"/>
      <c r="Q248" s="18"/>
      <c r="R248" s="15"/>
      <c r="S248" s="15"/>
      <c r="T248" s="15"/>
      <c r="U248" s="15"/>
      <c r="V248" s="15"/>
    </row>
    <row r="249" spans="1:22" x14ac:dyDescent="0.25">
      <c r="A249">
        <v>234</v>
      </c>
      <c r="B249" t="s">
        <v>818</v>
      </c>
      <c r="C249" t="s">
        <v>756</v>
      </c>
      <c r="D249">
        <v>2603</v>
      </c>
      <c r="J249">
        <f t="shared" si="6"/>
        <v>2603</v>
      </c>
      <c r="K249" s="5">
        <f t="shared" si="7"/>
        <v>5.7340026777329909E-5</v>
      </c>
      <c r="L249" s="18" t="s">
        <v>1289</v>
      </c>
      <c r="M249" s="18"/>
      <c r="N249" s="18" t="s">
        <v>1309</v>
      </c>
      <c r="O249" s="18"/>
      <c r="P249" s="18"/>
      <c r="Q249" s="18"/>
      <c r="R249" s="15"/>
      <c r="S249" s="15"/>
      <c r="T249" s="15"/>
      <c r="U249" s="15"/>
      <c r="V249" s="15"/>
    </row>
    <row r="250" spans="1:22" x14ac:dyDescent="0.25">
      <c r="A250">
        <v>235</v>
      </c>
      <c r="B250" t="s">
        <v>757</v>
      </c>
      <c r="C250" t="s">
        <v>757</v>
      </c>
      <c r="D250">
        <v>2494</v>
      </c>
      <c r="J250">
        <f t="shared" si="6"/>
        <v>2494</v>
      </c>
      <c r="K250" s="5">
        <f t="shared" si="7"/>
        <v>5.493892692380361E-5</v>
      </c>
      <c r="L250" s="18" t="s">
        <v>1290</v>
      </c>
      <c r="M250" s="18"/>
      <c r="N250" s="20" t="s">
        <v>1458</v>
      </c>
      <c r="O250" s="18"/>
      <c r="P250" s="18"/>
      <c r="Q250" s="18"/>
      <c r="R250" s="15"/>
      <c r="S250" s="15"/>
      <c r="T250" s="15"/>
      <c r="U250" s="15"/>
      <c r="V250" s="15"/>
    </row>
    <row r="251" spans="1:22" x14ac:dyDescent="0.25">
      <c r="A251">
        <v>236</v>
      </c>
      <c r="B251" t="s">
        <v>819</v>
      </c>
      <c r="C251" t="s">
        <v>758</v>
      </c>
      <c r="D251">
        <v>2387</v>
      </c>
      <c r="J251">
        <f t="shared" si="6"/>
        <v>2387</v>
      </c>
      <c r="K251" s="5">
        <f t="shared" si="7"/>
        <v>5.258188394832366E-5</v>
      </c>
      <c r="L251" s="18" t="s">
        <v>1291</v>
      </c>
      <c r="M251" s="18"/>
      <c r="N251" s="18" t="s">
        <v>1373</v>
      </c>
      <c r="O251" s="18"/>
      <c r="P251" s="18"/>
      <c r="Q251" s="18"/>
      <c r="R251" s="15"/>
      <c r="S251" s="15"/>
      <c r="T251" s="15"/>
      <c r="U251" s="15"/>
      <c r="V251" s="15"/>
    </row>
  </sheetData>
  <autoFilter ref="A15:U164">
    <sortState ref="A16:U251">
      <sortCondition descending="1" ref="K15:K164"/>
    </sortState>
  </autoFilter>
  <mergeCells count="3">
    <mergeCell ref="R14:V14"/>
    <mergeCell ref="D14:I14"/>
    <mergeCell ref="L14:Q14"/>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'Med Ingredients'!J16:J52</xm:f>
              <xm:sqref>K13</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0"/>
  <sheetViews>
    <sheetView topLeftCell="A10" workbookViewId="0">
      <selection activeCell="C25" sqref="C25"/>
    </sheetView>
  </sheetViews>
  <sheetFormatPr defaultRowHeight="15" x14ac:dyDescent="0.25"/>
  <cols>
    <col min="2" max="2" width="18" customWidth="1"/>
    <col min="3" max="3" width="11.42578125" customWidth="1"/>
    <col min="4" max="4" width="15" customWidth="1"/>
    <col min="6" max="6" width="11.85546875" customWidth="1"/>
    <col min="7" max="7" width="10.5703125" customWidth="1"/>
  </cols>
  <sheetData>
    <row r="1" spans="1:12" x14ac:dyDescent="0.25">
      <c r="A1" t="s">
        <v>30</v>
      </c>
      <c r="B1" t="s">
        <v>39</v>
      </c>
    </row>
    <row r="2" spans="1:12" x14ac:dyDescent="0.25">
      <c r="B2" t="s">
        <v>187</v>
      </c>
    </row>
    <row r="3" spans="1:12" x14ac:dyDescent="0.25">
      <c r="A3" t="s">
        <v>383</v>
      </c>
      <c r="B3" t="s">
        <v>872</v>
      </c>
    </row>
    <row r="4" spans="1:12" x14ac:dyDescent="0.25">
      <c r="B4" t="s">
        <v>873</v>
      </c>
    </row>
    <row r="5" spans="1:12" x14ac:dyDescent="0.25">
      <c r="A5" t="s">
        <v>385</v>
      </c>
      <c r="B5" t="s">
        <v>874</v>
      </c>
    </row>
    <row r="8" spans="1:12" x14ac:dyDescent="0.25">
      <c r="B8">
        <v>25</v>
      </c>
      <c r="C8" t="s">
        <v>913</v>
      </c>
      <c r="D8" s="3">
        <f>SUM(D12:D102)</f>
        <v>873103</v>
      </c>
      <c r="E8" s="5">
        <f>D8/D$9</f>
        <v>1.9233096196452967E-2</v>
      </c>
    </row>
    <row r="9" spans="1:12" x14ac:dyDescent="0.25">
      <c r="C9" s="12" t="s">
        <v>544</v>
      </c>
      <c r="D9" s="3">
        <v>45395863</v>
      </c>
    </row>
    <row r="10" spans="1:12" x14ac:dyDescent="0.25">
      <c r="C10" s="12"/>
      <c r="D10" s="3"/>
      <c r="F10" s="50" t="s">
        <v>546</v>
      </c>
      <c r="G10" s="51"/>
      <c r="H10" s="48" t="s">
        <v>547</v>
      </c>
      <c r="I10" s="49"/>
      <c r="J10" s="49"/>
      <c r="K10" s="49"/>
      <c r="L10" s="49"/>
    </row>
    <row r="11" spans="1:12" ht="15.75" thickBot="1" x14ac:dyDescent="0.3">
      <c r="A11" s="13" t="s">
        <v>454</v>
      </c>
      <c r="B11" s="13" t="s">
        <v>2</v>
      </c>
      <c r="C11" s="13" t="s">
        <v>545</v>
      </c>
      <c r="D11" s="14" t="s">
        <v>3</v>
      </c>
      <c r="E11" s="13" t="s">
        <v>34</v>
      </c>
      <c r="F11" s="19" t="s">
        <v>48</v>
      </c>
      <c r="G11" s="19" t="s">
        <v>31</v>
      </c>
      <c r="H11" s="16" t="s">
        <v>47</v>
      </c>
      <c r="I11" s="16" t="s">
        <v>548</v>
      </c>
      <c r="J11" s="16" t="s">
        <v>558</v>
      </c>
      <c r="K11" s="16" t="s">
        <v>574</v>
      </c>
      <c r="L11" s="22" t="s">
        <v>551</v>
      </c>
    </row>
    <row r="12" spans="1:12" x14ac:dyDescent="0.25">
      <c r="A12">
        <v>1</v>
      </c>
      <c r="B12" s="1" t="s">
        <v>50</v>
      </c>
      <c r="C12" s="1" t="s">
        <v>395</v>
      </c>
      <c r="D12" s="3">
        <f>108303+42047+23748+19878+12640+19195+17788+11336+11197+9642+8265+4450+3807</f>
        <v>292296</v>
      </c>
      <c r="E12" s="5">
        <f>D12/D$9</f>
        <v>6.4388246127185644E-3</v>
      </c>
      <c r="F12" s="18" t="s">
        <v>195</v>
      </c>
      <c r="G12" s="18" t="s">
        <v>169</v>
      </c>
      <c r="H12" s="15" t="s">
        <v>79</v>
      </c>
      <c r="I12" s="15"/>
      <c r="J12" s="15"/>
      <c r="K12" s="15" t="s">
        <v>493</v>
      </c>
      <c r="L12" s="9" t="s">
        <v>496</v>
      </c>
    </row>
    <row r="13" spans="1:12" x14ac:dyDescent="0.25">
      <c r="B13" s="9" t="s">
        <v>204</v>
      </c>
      <c r="F13" s="18" t="s">
        <v>209</v>
      </c>
      <c r="G13" s="18" t="s">
        <v>212</v>
      </c>
      <c r="H13" s="15"/>
      <c r="I13" s="15"/>
      <c r="J13" s="15"/>
      <c r="K13" s="15"/>
      <c r="L13" t="s">
        <v>604</v>
      </c>
    </row>
    <row r="14" spans="1:12" x14ac:dyDescent="0.25">
      <c r="B14" s="9" t="s">
        <v>205</v>
      </c>
      <c r="F14" s="18" t="s">
        <v>210</v>
      </c>
      <c r="G14" s="18" t="s">
        <v>213</v>
      </c>
      <c r="H14" s="15"/>
      <c r="I14" s="15"/>
      <c r="J14" s="15"/>
      <c r="K14" s="15"/>
      <c r="L14" t="s">
        <v>604</v>
      </c>
    </row>
    <row r="15" spans="1:12" x14ac:dyDescent="0.25">
      <c r="B15" s="9" t="s">
        <v>155</v>
      </c>
      <c r="F15" s="18" t="s">
        <v>211</v>
      </c>
      <c r="G15" s="18" t="s">
        <v>214</v>
      </c>
      <c r="H15" s="15"/>
      <c r="I15" s="15"/>
      <c r="J15" s="15"/>
      <c r="K15" s="15"/>
      <c r="L15" t="s">
        <v>604</v>
      </c>
    </row>
    <row r="16" spans="1:12" x14ac:dyDescent="0.25">
      <c r="A16">
        <v>2</v>
      </c>
      <c r="B16" s="1" t="s">
        <v>162</v>
      </c>
      <c r="C16" s="1" t="s">
        <v>401</v>
      </c>
      <c r="D16" s="3">
        <f>29100+17196+5636+16017+9592+6677+4306+3175</f>
        <v>91699</v>
      </c>
      <c r="E16" s="5">
        <f t="shared" ref="E16:E39" si="0">D16/D$9</f>
        <v>2.0199858299863138E-3</v>
      </c>
      <c r="F16" s="18" t="s">
        <v>195</v>
      </c>
      <c r="G16" s="18" t="s">
        <v>171</v>
      </c>
      <c r="H16" s="15" t="s">
        <v>167</v>
      </c>
      <c r="I16" s="15"/>
      <c r="J16" s="15"/>
      <c r="K16" s="15" t="s">
        <v>55</v>
      </c>
      <c r="L16" s="9" t="s">
        <v>497</v>
      </c>
    </row>
    <row r="17" spans="1:12" x14ac:dyDescent="0.25">
      <c r="A17">
        <v>3</v>
      </c>
      <c r="B17" s="1" t="s">
        <v>49</v>
      </c>
      <c r="C17" s="1" t="s">
        <v>399</v>
      </c>
      <c r="D17" s="3">
        <f>33226+3871+17722+7627+6985+5165+3195</f>
        <v>77791</v>
      </c>
      <c r="E17" s="5">
        <f t="shared" si="0"/>
        <v>1.7136143000519672E-3</v>
      </c>
      <c r="F17" s="18" t="s">
        <v>221</v>
      </c>
      <c r="G17" s="18" t="s">
        <v>172</v>
      </c>
      <c r="H17" s="15" t="s">
        <v>54</v>
      </c>
      <c r="I17" s="15"/>
      <c r="J17" s="15"/>
      <c r="K17" s="15" t="s">
        <v>55</v>
      </c>
    </row>
    <row r="18" spans="1:12" x14ac:dyDescent="0.25">
      <c r="A18">
        <v>4</v>
      </c>
      <c r="B18" s="1" t="s">
        <v>52</v>
      </c>
      <c r="C18" s="1" t="s">
        <v>219</v>
      </c>
      <c r="D18" s="3">
        <f>32018+29783+11191+4382</f>
        <v>77374</v>
      </c>
      <c r="E18" s="5">
        <f t="shared" si="0"/>
        <v>1.7044284409793024E-3</v>
      </c>
      <c r="F18" s="18" t="s">
        <v>203</v>
      </c>
      <c r="G18" s="18" t="s">
        <v>170</v>
      </c>
      <c r="H18" s="15" t="s">
        <v>605</v>
      </c>
      <c r="I18" s="15"/>
      <c r="J18" s="15"/>
      <c r="K18" s="15" t="s">
        <v>53</v>
      </c>
      <c r="L18" s="35" t="s">
        <v>606</v>
      </c>
    </row>
    <row r="19" spans="1:12" x14ac:dyDescent="0.25">
      <c r="A19">
        <v>5</v>
      </c>
      <c r="B19" s="1" t="s">
        <v>51</v>
      </c>
      <c r="C19" s="1" t="s">
        <v>220</v>
      </c>
      <c r="D19" s="3">
        <f>33293+37374+3972</f>
        <v>74639</v>
      </c>
      <c r="E19" s="5">
        <f t="shared" si="0"/>
        <v>1.6441806602509133E-3</v>
      </c>
      <c r="F19" s="18" t="s">
        <v>218</v>
      </c>
      <c r="G19" s="18" t="s">
        <v>215</v>
      </c>
      <c r="H19" s="15"/>
      <c r="I19" s="15"/>
      <c r="J19" s="15"/>
      <c r="K19" s="15"/>
    </row>
    <row r="20" spans="1:12" x14ac:dyDescent="0.25">
      <c r="A20">
        <v>6</v>
      </c>
      <c r="B20" s="1" t="s">
        <v>76</v>
      </c>
      <c r="C20" s="1" t="s">
        <v>404</v>
      </c>
      <c r="D20" s="3">
        <f>11451+8728+10278+8137+6492+5291+3094</f>
        <v>53471</v>
      </c>
      <c r="E20" s="5">
        <f t="shared" si="0"/>
        <v>1.1778826630083009E-3</v>
      </c>
      <c r="F20" s="18" t="s">
        <v>222</v>
      </c>
      <c r="G20" s="18" t="s">
        <v>173</v>
      </c>
      <c r="H20" s="15"/>
      <c r="I20" s="15"/>
      <c r="J20" s="15"/>
      <c r="K20" s="15"/>
      <c r="L20" s="36" t="s">
        <v>166</v>
      </c>
    </row>
    <row r="21" spans="1:12" x14ac:dyDescent="0.25">
      <c r="A21">
        <v>7</v>
      </c>
      <c r="B21" s="1" t="s">
        <v>75</v>
      </c>
      <c r="C21" t="s">
        <v>403</v>
      </c>
      <c r="D21" s="3">
        <f>17109+10269+3930+3108</f>
        <v>34416</v>
      </c>
      <c r="E21" s="5">
        <f t="shared" si="0"/>
        <v>7.5813075742166194E-4</v>
      </c>
      <c r="F21" s="18" t="s">
        <v>223</v>
      </c>
      <c r="G21" s="18" t="s">
        <v>174</v>
      </c>
      <c r="H21" s="15"/>
      <c r="I21" s="15"/>
      <c r="J21" s="15"/>
      <c r="K21" s="15"/>
    </row>
    <row r="22" spans="1:12" x14ac:dyDescent="0.25">
      <c r="A22">
        <v>8</v>
      </c>
      <c r="B22" s="1" t="s">
        <v>80</v>
      </c>
      <c r="C22" t="s">
        <v>409</v>
      </c>
      <c r="D22" s="3">
        <f>6764+6671+4879+2580</f>
        <v>20894</v>
      </c>
      <c r="E22" s="5">
        <f t="shared" si="0"/>
        <v>4.6026220495026164E-4</v>
      </c>
      <c r="F22" s="18" t="s">
        <v>225</v>
      </c>
      <c r="G22" s="34" t="s">
        <v>176</v>
      </c>
      <c r="H22" s="15"/>
      <c r="I22" s="15"/>
      <c r="J22" s="15"/>
      <c r="K22" s="15"/>
    </row>
    <row r="23" spans="1:12" x14ac:dyDescent="0.25">
      <c r="A23">
        <v>9</v>
      </c>
      <c r="B23" s="1" t="s">
        <v>78</v>
      </c>
      <c r="C23" t="s">
        <v>160</v>
      </c>
      <c r="D23" s="3">
        <f>7917+8436+4500</f>
        <v>20853</v>
      </c>
      <c r="E23" s="5">
        <f t="shared" si="0"/>
        <v>4.593590389503114E-4</v>
      </c>
      <c r="F23" s="18" t="s">
        <v>224</v>
      </c>
      <c r="G23" s="18" t="s">
        <v>175</v>
      </c>
      <c r="H23" s="15"/>
      <c r="I23" s="15"/>
      <c r="J23" s="15"/>
      <c r="K23" s="15"/>
    </row>
    <row r="24" spans="1:12" x14ac:dyDescent="0.25">
      <c r="A24">
        <v>10</v>
      </c>
      <c r="B24" t="s">
        <v>178</v>
      </c>
      <c r="C24" t="s">
        <v>394</v>
      </c>
      <c r="D24" s="3">
        <f>5833+3812+3793+3406+2937</f>
        <v>19781</v>
      </c>
      <c r="E24" s="5">
        <f t="shared" si="0"/>
        <v>4.3574455231746559E-4</v>
      </c>
      <c r="F24" s="18" t="s">
        <v>226</v>
      </c>
      <c r="G24" s="34" t="s">
        <v>177</v>
      </c>
      <c r="H24" s="15"/>
      <c r="I24" s="15"/>
      <c r="J24" s="15"/>
      <c r="K24" s="15"/>
    </row>
    <row r="25" spans="1:12" x14ac:dyDescent="0.25">
      <c r="A25">
        <v>11</v>
      </c>
      <c r="B25" s="1" t="s">
        <v>165</v>
      </c>
      <c r="C25" t="s">
        <v>398</v>
      </c>
      <c r="D25" s="3">
        <f>5481+7966+3592</f>
        <v>17039</v>
      </c>
      <c r="E25" s="5">
        <f t="shared" si="0"/>
        <v>3.7534257251591404E-4</v>
      </c>
      <c r="F25" s="18" t="s">
        <v>227</v>
      </c>
      <c r="G25" s="18" t="s">
        <v>179</v>
      </c>
      <c r="H25" s="15"/>
      <c r="I25" s="15"/>
      <c r="J25" s="15"/>
      <c r="K25" s="15"/>
    </row>
    <row r="26" spans="1:12" x14ac:dyDescent="0.25">
      <c r="A26">
        <v>12</v>
      </c>
      <c r="B26" s="1" t="s">
        <v>327</v>
      </c>
      <c r="C26" t="s">
        <v>402</v>
      </c>
      <c r="D26" s="3">
        <f>3659+6940+3158</f>
        <v>13757</v>
      </c>
      <c r="E26" s="5">
        <f t="shared" si="0"/>
        <v>3.0304523564184691E-4</v>
      </c>
      <c r="F26" s="18" t="s">
        <v>195</v>
      </c>
      <c r="G26" s="34" t="s">
        <v>412</v>
      </c>
      <c r="H26" s="15"/>
      <c r="I26" s="15"/>
      <c r="J26" s="15"/>
      <c r="K26" s="15"/>
    </row>
    <row r="27" spans="1:12" x14ac:dyDescent="0.25">
      <c r="A27">
        <v>13</v>
      </c>
      <c r="B27" s="1" t="s">
        <v>159</v>
      </c>
      <c r="C27" t="s">
        <v>396</v>
      </c>
      <c r="D27" s="3">
        <f>6595+5926</f>
        <v>12521</v>
      </c>
      <c r="E27" s="5">
        <f t="shared" si="0"/>
        <v>2.7581808500920009E-4</v>
      </c>
      <c r="F27" s="18" t="s">
        <v>229</v>
      </c>
      <c r="G27" s="34" t="s">
        <v>182</v>
      </c>
      <c r="H27" s="15"/>
      <c r="I27" s="15"/>
      <c r="J27" s="15"/>
      <c r="K27" s="15"/>
    </row>
    <row r="28" spans="1:12" x14ac:dyDescent="0.25">
      <c r="A28">
        <v>14</v>
      </c>
      <c r="B28" s="1" t="s">
        <v>77</v>
      </c>
      <c r="C28" t="s">
        <v>405</v>
      </c>
      <c r="D28" s="3">
        <f>8420+3003</f>
        <v>11423</v>
      </c>
      <c r="E28" s="5">
        <f t="shared" si="0"/>
        <v>2.5163085896175164E-4</v>
      </c>
      <c r="F28" s="18" t="s">
        <v>228</v>
      </c>
      <c r="G28" s="20" t="s">
        <v>180</v>
      </c>
      <c r="H28" s="15"/>
      <c r="I28" s="15"/>
      <c r="J28" s="15"/>
      <c r="K28" s="15"/>
    </row>
    <row r="29" spans="1:12" x14ac:dyDescent="0.25">
      <c r="A29">
        <v>15</v>
      </c>
      <c r="B29" s="1" t="s">
        <v>168</v>
      </c>
      <c r="C29" t="s">
        <v>397</v>
      </c>
      <c r="D29" s="3">
        <f>6387+3620</f>
        <v>10007</v>
      </c>
      <c r="E29" s="5">
        <f t="shared" si="0"/>
        <v>2.2043858930493292E-4</v>
      </c>
      <c r="F29" s="18" t="s">
        <v>232</v>
      </c>
      <c r="G29" s="34" t="s">
        <v>185</v>
      </c>
      <c r="H29" s="15"/>
      <c r="I29" s="15"/>
      <c r="J29" s="15"/>
      <c r="K29" s="15"/>
    </row>
    <row r="30" spans="1:12" x14ac:dyDescent="0.25">
      <c r="A30">
        <v>16</v>
      </c>
      <c r="B30" t="s">
        <v>306</v>
      </c>
      <c r="C30" t="s">
        <v>407</v>
      </c>
      <c r="D30" s="3">
        <f>2912+3183+2758</f>
        <v>8853</v>
      </c>
      <c r="E30" s="5">
        <f t="shared" si="0"/>
        <v>1.9501777067218657E-4</v>
      </c>
      <c r="F30" s="18" t="s">
        <v>420</v>
      </c>
      <c r="G30" s="34" t="s">
        <v>413</v>
      </c>
      <c r="H30" s="15"/>
      <c r="I30" s="15"/>
      <c r="J30" s="15"/>
      <c r="K30" s="15"/>
    </row>
    <row r="31" spans="1:12" x14ac:dyDescent="0.25">
      <c r="A31">
        <v>17</v>
      </c>
      <c r="B31" s="1" t="s">
        <v>161</v>
      </c>
      <c r="C31" t="s">
        <v>400</v>
      </c>
      <c r="D31" s="3">
        <f>3840+4444</f>
        <v>8284</v>
      </c>
      <c r="E31" s="5">
        <f t="shared" si="0"/>
        <v>1.8248358886799882E-4</v>
      </c>
      <c r="F31" s="18" t="s">
        <v>230</v>
      </c>
      <c r="G31" s="34" t="s">
        <v>183</v>
      </c>
      <c r="H31" s="15"/>
      <c r="I31" s="15"/>
      <c r="J31" s="15"/>
      <c r="K31" s="15"/>
    </row>
    <row r="32" spans="1:12" x14ac:dyDescent="0.25">
      <c r="A32">
        <v>18</v>
      </c>
      <c r="B32" s="10" t="s">
        <v>4</v>
      </c>
      <c r="C32" t="s">
        <v>157</v>
      </c>
      <c r="D32" s="3">
        <v>6099</v>
      </c>
      <c r="E32" s="5">
        <f t="shared" si="0"/>
        <v>1.3435144960235695E-4</v>
      </c>
      <c r="F32" s="18" t="s">
        <v>200</v>
      </c>
      <c r="G32" s="34" t="s">
        <v>181</v>
      </c>
      <c r="H32" s="15"/>
      <c r="I32" s="15"/>
      <c r="J32" s="15"/>
      <c r="K32" s="15"/>
      <c r="L32" s="9" t="s">
        <v>158</v>
      </c>
    </row>
    <row r="33" spans="1:11" x14ac:dyDescent="0.25">
      <c r="A33">
        <v>19</v>
      </c>
      <c r="B33" t="s">
        <v>311</v>
      </c>
      <c r="C33" t="s">
        <v>410</v>
      </c>
      <c r="D33" s="3">
        <f>2578+2513</f>
        <v>5091</v>
      </c>
      <c r="E33" s="5">
        <f t="shared" si="0"/>
        <v>1.1214678306699445E-4</v>
      </c>
      <c r="F33" s="18" t="s">
        <v>421</v>
      </c>
      <c r="G33" s="34" t="s">
        <v>414</v>
      </c>
      <c r="H33" s="15"/>
      <c r="I33" s="15"/>
      <c r="J33" s="15"/>
      <c r="K33" s="15"/>
    </row>
    <row r="34" spans="1:11" x14ac:dyDescent="0.25">
      <c r="A34">
        <v>20</v>
      </c>
      <c r="B34" t="s">
        <v>163</v>
      </c>
      <c r="C34" t="s">
        <v>164</v>
      </c>
      <c r="D34" s="3">
        <v>4058</v>
      </c>
      <c r="E34" s="5">
        <f t="shared" si="0"/>
        <v>8.9391405556052538E-5</v>
      </c>
      <c r="F34" s="18" t="s">
        <v>231</v>
      </c>
      <c r="G34" s="34" t="s">
        <v>184</v>
      </c>
      <c r="H34" s="15"/>
      <c r="I34" s="15"/>
      <c r="J34" s="15"/>
      <c r="K34" s="15"/>
    </row>
    <row r="35" spans="1:11" x14ac:dyDescent="0.25">
      <c r="A35">
        <v>21</v>
      </c>
      <c r="B35" t="s">
        <v>304</v>
      </c>
      <c r="C35" t="s">
        <v>406</v>
      </c>
      <c r="D35" s="3">
        <v>2789</v>
      </c>
      <c r="E35" s="5">
        <f t="shared" si="0"/>
        <v>6.1437316435640848E-5</v>
      </c>
      <c r="F35" s="18" t="s">
        <v>422</v>
      </c>
      <c r="G35" s="34" t="s">
        <v>415</v>
      </c>
      <c r="H35" s="15"/>
      <c r="I35" s="15"/>
      <c r="J35" s="15"/>
      <c r="K35" s="15"/>
    </row>
    <row r="36" spans="1:11" x14ac:dyDescent="0.25">
      <c r="A36">
        <v>22</v>
      </c>
      <c r="B36" t="s">
        <v>314</v>
      </c>
      <c r="C36" t="s">
        <v>408</v>
      </c>
      <c r="D36" s="3">
        <v>2667</v>
      </c>
      <c r="E36" s="5">
        <f t="shared" si="0"/>
        <v>5.874984687481324E-5</v>
      </c>
      <c r="F36" s="18" t="s">
        <v>423</v>
      </c>
      <c r="G36" s="34" t="s">
        <v>416</v>
      </c>
      <c r="H36" s="15"/>
      <c r="I36" s="15"/>
      <c r="J36" s="15"/>
      <c r="K36" s="15"/>
    </row>
    <row r="37" spans="1:11" x14ac:dyDescent="0.25">
      <c r="A37">
        <v>23</v>
      </c>
      <c r="B37" t="s">
        <v>297</v>
      </c>
      <c r="C37" t="s">
        <v>411</v>
      </c>
      <c r="D37" s="3">
        <v>2540</v>
      </c>
      <c r="E37" s="5">
        <f t="shared" si="0"/>
        <v>5.5952235118869749E-5</v>
      </c>
      <c r="F37" s="18" t="s">
        <v>424</v>
      </c>
      <c r="G37" s="34" t="s">
        <v>417</v>
      </c>
      <c r="H37" s="15"/>
      <c r="I37" s="15"/>
      <c r="J37" s="15"/>
      <c r="K37" s="15"/>
    </row>
    <row r="38" spans="1:11" x14ac:dyDescent="0.25">
      <c r="A38">
        <v>24</v>
      </c>
      <c r="B38" t="s">
        <v>313</v>
      </c>
      <c r="C38" t="s">
        <v>313</v>
      </c>
      <c r="D38" s="3">
        <v>2409</v>
      </c>
      <c r="E38" s="5">
        <f t="shared" si="0"/>
        <v>5.3066509606833555E-5</v>
      </c>
      <c r="F38" s="18" t="s">
        <v>425</v>
      </c>
      <c r="G38" s="34" t="s">
        <v>418</v>
      </c>
      <c r="H38" s="15"/>
      <c r="I38" s="15"/>
      <c r="J38" s="15"/>
      <c r="K38" s="15"/>
    </row>
    <row r="39" spans="1:11" x14ac:dyDescent="0.25">
      <c r="A39">
        <v>25</v>
      </c>
      <c r="B39" t="s">
        <v>318</v>
      </c>
      <c r="C39" t="s">
        <v>310</v>
      </c>
      <c r="D39" s="3">
        <v>2352</v>
      </c>
      <c r="E39" s="5">
        <f t="shared" si="0"/>
        <v>5.1810888582512462E-5</v>
      </c>
      <c r="F39" s="18" t="s">
        <v>426</v>
      </c>
      <c r="G39" s="34" t="s">
        <v>419</v>
      </c>
      <c r="H39" s="15"/>
      <c r="I39" s="15"/>
      <c r="J39" s="15"/>
      <c r="K39" s="15"/>
    </row>
    <row r="40" spans="1:11" x14ac:dyDescent="0.25">
      <c r="F40" s="18"/>
      <c r="G40" s="18"/>
      <c r="H40" s="15"/>
      <c r="I40" s="15"/>
      <c r="J40" s="15"/>
      <c r="K40" s="15"/>
    </row>
    <row r="41" spans="1:11" x14ac:dyDescent="0.25">
      <c r="A41" s="8"/>
      <c r="F41" s="18"/>
      <c r="G41" s="18"/>
      <c r="H41" s="15"/>
      <c r="I41" s="15"/>
      <c r="J41" s="15"/>
      <c r="K41" s="15"/>
    </row>
    <row r="42" spans="1:11" x14ac:dyDescent="0.25">
      <c r="A42" t="s">
        <v>162</v>
      </c>
      <c r="F42" s="18"/>
      <c r="G42" s="18"/>
      <c r="H42" s="15"/>
      <c r="I42" s="15"/>
      <c r="J42" s="15"/>
      <c r="K42" s="15"/>
    </row>
    <row r="43" spans="1:11" x14ac:dyDescent="0.25">
      <c r="B43" t="s">
        <v>5</v>
      </c>
      <c r="F43" s="18" t="s">
        <v>207</v>
      </c>
      <c r="G43" s="18" t="s">
        <v>216</v>
      </c>
      <c r="H43" s="15"/>
      <c r="I43" s="15"/>
      <c r="J43" s="15"/>
      <c r="K43" s="15"/>
    </row>
    <row r="44" spans="1:11" x14ac:dyDescent="0.25">
      <c r="B44" t="s">
        <v>120</v>
      </c>
      <c r="F44" s="18" t="s">
        <v>208</v>
      </c>
      <c r="G44" s="18" t="s">
        <v>217</v>
      </c>
      <c r="H44" s="15"/>
      <c r="I44" s="15"/>
      <c r="J44" s="15"/>
      <c r="K44" s="15"/>
    </row>
    <row r="45" spans="1:11" x14ac:dyDescent="0.25">
      <c r="B45" t="s">
        <v>206</v>
      </c>
      <c r="F45" s="18"/>
      <c r="G45" s="18" t="s">
        <v>171</v>
      </c>
      <c r="H45" s="15"/>
      <c r="I45" s="15"/>
      <c r="J45" s="15"/>
      <c r="K45" s="15"/>
    </row>
    <row r="46" spans="1:11" x14ac:dyDescent="0.25">
      <c r="F46" s="18"/>
      <c r="G46" s="18"/>
      <c r="H46" s="15"/>
      <c r="I46" s="15"/>
      <c r="J46" s="15"/>
      <c r="K46" s="15"/>
    </row>
    <row r="50" spans="6:6" x14ac:dyDescent="0.25">
      <c r="F50" s="7"/>
    </row>
  </sheetData>
  <autoFilter ref="A11:K11">
    <sortState ref="A8:M38">
      <sortCondition descending="1" ref="E7"/>
    </sortState>
  </autoFilter>
  <mergeCells count="2">
    <mergeCell ref="H10:L10"/>
    <mergeCell ref="F10:G10"/>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Foods!D12:D32</xm:f>
              <xm:sqref>E9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C5" sqref="C5"/>
    </sheetView>
  </sheetViews>
  <sheetFormatPr defaultRowHeight="15" x14ac:dyDescent="0.25"/>
  <cols>
    <col min="2" max="2" width="25" customWidth="1"/>
    <col min="4" max="4" width="11.5703125" bestFit="1" customWidth="1"/>
  </cols>
  <sheetData>
    <row r="1" spans="1:14" x14ac:dyDescent="0.25">
      <c r="A1" t="s">
        <v>30</v>
      </c>
      <c r="B1" t="s">
        <v>38</v>
      </c>
    </row>
    <row r="2" spans="1:14" x14ac:dyDescent="0.25">
      <c r="A2" t="s">
        <v>383</v>
      </c>
      <c r="B2" t="s">
        <v>875</v>
      </c>
    </row>
    <row r="3" spans="1:14" x14ac:dyDescent="0.25">
      <c r="A3" t="s">
        <v>385</v>
      </c>
      <c r="B3" t="s">
        <v>392</v>
      </c>
    </row>
    <row r="5" spans="1:14" x14ac:dyDescent="0.25">
      <c r="B5">
        <f>COUNTA(B9:B998)</f>
        <v>4</v>
      </c>
      <c r="C5" t="s">
        <v>913</v>
      </c>
      <c r="D5" s="3">
        <f>SUM(D9:D16)</f>
        <v>74021</v>
      </c>
      <c r="E5" s="5">
        <f>D5/D$6</f>
        <v>1.6305670849345898E-3</v>
      </c>
    </row>
    <row r="6" spans="1:14" x14ac:dyDescent="0.25">
      <c r="C6" s="12" t="s">
        <v>544</v>
      </c>
      <c r="D6" s="3">
        <v>45395863</v>
      </c>
      <c r="E6" s="6"/>
    </row>
    <row r="7" spans="1:14" x14ac:dyDescent="0.25">
      <c r="C7" s="12"/>
      <c r="D7" s="3"/>
      <c r="F7" s="53" t="s">
        <v>546</v>
      </c>
      <c r="G7" s="53"/>
      <c r="H7" s="53"/>
      <c r="I7" s="54"/>
      <c r="J7" s="48" t="s">
        <v>547</v>
      </c>
      <c r="K7" s="49"/>
      <c r="L7" s="49"/>
      <c r="M7" s="49"/>
      <c r="N7" s="49"/>
    </row>
    <row r="8" spans="1:14" ht="15.75" thickBot="1" x14ac:dyDescent="0.3">
      <c r="A8" s="13" t="s">
        <v>454</v>
      </c>
      <c r="B8" s="13" t="s">
        <v>2</v>
      </c>
      <c r="C8" s="13" t="s">
        <v>545</v>
      </c>
      <c r="D8" s="14" t="s">
        <v>3</v>
      </c>
      <c r="E8" s="13" t="s">
        <v>34</v>
      </c>
      <c r="F8" s="19" t="s">
        <v>503</v>
      </c>
      <c r="G8" s="19" t="s">
        <v>31</v>
      </c>
      <c r="H8" s="19" t="s">
        <v>33</v>
      </c>
      <c r="I8" s="19" t="s">
        <v>32</v>
      </c>
      <c r="J8" s="24" t="s">
        <v>47</v>
      </c>
      <c r="K8" s="24" t="s">
        <v>548</v>
      </c>
      <c r="L8" s="24" t="s">
        <v>558</v>
      </c>
      <c r="M8" s="24" t="s">
        <v>45</v>
      </c>
      <c r="N8" s="24" t="s">
        <v>551</v>
      </c>
    </row>
    <row r="9" spans="1:14" x14ac:dyDescent="0.25">
      <c r="A9">
        <v>1</v>
      </c>
      <c r="B9" s="1" t="s">
        <v>329</v>
      </c>
      <c r="C9" t="s">
        <v>499</v>
      </c>
      <c r="D9" s="3">
        <f>25288+7443+3076+5601+3338</f>
        <v>44746</v>
      </c>
      <c r="E9" s="5">
        <f>D9/D$6</f>
        <v>9.8568453253108099E-4</v>
      </c>
      <c r="F9" s="18" t="s">
        <v>504</v>
      </c>
      <c r="G9" s="18" t="s">
        <v>234</v>
      </c>
      <c r="H9" s="18"/>
      <c r="I9" s="18"/>
      <c r="J9" s="15"/>
      <c r="K9" s="15"/>
      <c r="L9" s="15"/>
      <c r="M9" s="15"/>
      <c r="N9" s="15"/>
    </row>
    <row r="10" spans="1:14" x14ac:dyDescent="0.25">
      <c r="A10">
        <v>2</v>
      </c>
      <c r="B10" t="s">
        <v>328</v>
      </c>
      <c r="C10" t="s">
        <v>498</v>
      </c>
      <c r="D10" s="3">
        <f>10688+6035+3788</f>
        <v>20511</v>
      </c>
      <c r="E10" s="5">
        <f>D10/D$6</f>
        <v>4.5182531280438482E-4</v>
      </c>
      <c r="F10" s="18" t="s">
        <v>505</v>
      </c>
      <c r="G10" s="18" t="s">
        <v>233</v>
      </c>
      <c r="H10" s="18"/>
      <c r="I10" s="18"/>
      <c r="J10" s="15"/>
      <c r="K10" s="15"/>
      <c r="L10" s="15"/>
      <c r="M10" s="15"/>
      <c r="N10" s="15"/>
    </row>
    <row r="11" spans="1:14" x14ac:dyDescent="0.25">
      <c r="A11">
        <v>3</v>
      </c>
      <c r="B11" t="s">
        <v>315</v>
      </c>
      <c r="C11" t="s">
        <v>305</v>
      </c>
      <c r="D11" s="3">
        <v>3314</v>
      </c>
      <c r="E11" s="5">
        <f>D11/D$6</f>
        <v>7.3002246922808809E-5</v>
      </c>
      <c r="F11" s="18" t="s">
        <v>506</v>
      </c>
      <c r="G11" s="18" t="s">
        <v>501</v>
      </c>
      <c r="H11" s="18"/>
      <c r="I11" s="18"/>
      <c r="J11" s="15"/>
      <c r="K11" s="15"/>
      <c r="L11" s="15"/>
      <c r="M11" s="15"/>
      <c r="N11" s="15"/>
    </row>
    <row r="12" spans="1:14" x14ac:dyDescent="0.25">
      <c r="A12">
        <v>4</v>
      </c>
      <c r="B12" t="s">
        <v>299</v>
      </c>
      <c r="C12" t="s">
        <v>500</v>
      </c>
      <c r="D12" s="3">
        <f>2759+2691</f>
        <v>5450</v>
      </c>
      <c r="E12" s="5">
        <f>D12/D$6</f>
        <v>1.2005499267631502E-4</v>
      </c>
      <c r="F12" s="18" t="s">
        <v>507</v>
      </c>
      <c r="G12" s="18" t="s">
        <v>502</v>
      </c>
      <c r="H12" s="18"/>
      <c r="I12" s="18"/>
      <c r="J12" s="15"/>
      <c r="K12" s="15"/>
      <c r="L12" s="15"/>
      <c r="M12" s="15"/>
      <c r="N12" s="15"/>
    </row>
    <row r="13" spans="1:14" x14ac:dyDescent="0.25">
      <c r="A13" s="1"/>
      <c r="E13" s="2"/>
    </row>
    <row r="14" spans="1:14" x14ac:dyDescent="0.25">
      <c r="E14" s="2"/>
    </row>
    <row r="15" spans="1:14" x14ac:dyDescent="0.25">
      <c r="A15" t="s">
        <v>37</v>
      </c>
    </row>
  </sheetData>
  <mergeCells count="2">
    <mergeCell ref="J7:N7"/>
    <mergeCell ref="F7:I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C6" sqref="C6"/>
    </sheetView>
  </sheetViews>
  <sheetFormatPr defaultRowHeight="15" x14ac:dyDescent="0.25"/>
  <cols>
    <col min="2" max="2" width="15.140625" customWidth="1"/>
    <col min="3" max="3" width="14" customWidth="1"/>
    <col min="4" max="4" width="21.28515625" customWidth="1"/>
    <col min="6" max="6" width="9.7109375" customWidth="1"/>
    <col min="7" max="7" width="11.7109375" customWidth="1"/>
    <col min="11" max="11" width="5.7109375" customWidth="1"/>
  </cols>
  <sheetData>
    <row r="1" spans="1:12" x14ac:dyDescent="0.25">
      <c r="A1" t="s">
        <v>30</v>
      </c>
      <c r="B1" t="s">
        <v>876</v>
      </c>
    </row>
    <row r="2" spans="1:12" x14ac:dyDescent="0.25">
      <c r="A2" t="s">
        <v>383</v>
      </c>
      <c r="B2" t="s">
        <v>877</v>
      </c>
    </row>
    <row r="3" spans="1:12" x14ac:dyDescent="0.25">
      <c r="A3" t="s">
        <v>385</v>
      </c>
      <c r="B3" t="s">
        <v>879</v>
      </c>
    </row>
    <row r="4" spans="1:12" x14ac:dyDescent="0.25">
      <c r="B4" s="8" t="s">
        <v>878</v>
      </c>
    </row>
    <row r="6" spans="1:12" x14ac:dyDescent="0.25">
      <c r="B6">
        <f>COUNTA(B10:B23)</f>
        <v>11</v>
      </c>
      <c r="C6" t="s">
        <v>913</v>
      </c>
      <c r="D6" s="3">
        <f>SUM(D10:D23)</f>
        <v>404969</v>
      </c>
      <c r="E6" s="5">
        <f>D6/D$7</f>
        <v>8.9208349227769945E-3</v>
      </c>
    </row>
    <row r="7" spans="1:12" x14ac:dyDescent="0.25">
      <c r="C7" s="12" t="s">
        <v>544</v>
      </c>
      <c r="D7" s="3">
        <v>45395863</v>
      </c>
    </row>
    <row r="8" spans="1:12" x14ac:dyDescent="0.25">
      <c r="C8" s="12"/>
      <c r="D8" s="3"/>
      <c r="F8" s="50" t="s">
        <v>546</v>
      </c>
      <c r="G8" s="51"/>
      <c r="H8" s="48" t="s">
        <v>547</v>
      </c>
      <c r="I8" s="49"/>
      <c r="J8" s="49"/>
      <c r="K8" s="49"/>
      <c r="L8" s="49"/>
    </row>
    <row r="9" spans="1:12" ht="15.75" thickBot="1" x14ac:dyDescent="0.3">
      <c r="A9" s="13" t="s">
        <v>454</v>
      </c>
      <c r="B9" s="13" t="s">
        <v>2</v>
      </c>
      <c r="C9" s="13" t="s">
        <v>545</v>
      </c>
      <c r="D9" s="14" t="s">
        <v>3</v>
      </c>
      <c r="E9" s="13" t="s">
        <v>34</v>
      </c>
      <c r="F9" s="19" t="s">
        <v>48</v>
      </c>
      <c r="G9" s="19" t="s">
        <v>31</v>
      </c>
      <c r="H9" s="24" t="s">
        <v>47</v>
      </c>
      <c r="I9" s="24" t="s">
        <v>548</v>
      </c>
      <c r="J9" s="24" t="s">
        <v>558</v>
      </c>
      <c r="K9" s="24" t="s">
        <v>45</v>
      </c>
      <c r="L9" s="24" t="s">
        <v>551</v>
      </c>
    </row>
    <row r="10" spans="1:12" x14ac:dyDescent="0.25">
      <c r="A10">
        <v>1</v>
      </c>
      <c r="B10" s="1" t="s">
        <v>6</v>
      </c>
      <c r="C10" s="1" t="s">
        <v>433</v>
      </c>
      <c r="D10" s="3">
        <f>26811+5599+2723+26704+7046+6654+4276</f>
        <v>79813</v>
      </c>
      <c r="E10" s="5">
        <f t="shared" ref="E10:E20" si="0">D10/D$7</f>
        <v>1.7581558037568312E-3</v>
      </c>
      <c r="F10" s="18" t="s">
        <v>195</v>
      </c>
      <c r="G10" s="18" t="s">
        <v>330</v>
      </c>
      <c r="H10" s="15"/>
      <c r="I10" s="15"/>
      <c r="J10" s="15"/>
      <c r="K10" s="15"/>
    </row>
    <row r="11" spans="1:12" x14ac:dyDescent="0.25">
      <c r="A11">
        <v>2</v>
      </c>
      <c r="B11" s="1" t="s">
        <v>240</v>
      </c>
      <c r="C11" s="1" t="s">
        <v>428</v>
      </c>
      <c r="D11" s="3">
        <f>35187+4977+15388+8666+5802+4258</f>
        <v>74278</v>
      </c>
      <c r="E11" s="5">
        <f t="shared" si="0"/>
        <v>1.6362283937635463E-3</v>
      </c>
      <c r="F11" s="18" t="s">
        <v>339</v>
      </c>
      <c r="G11" s="18" t="s">
        <v>331</v>
      </c>
      <c r="H11" s="15"/>
      <c r="I11" s="15"/>
      <c r="J11" s="15"/>
      <c r="K11" s="15"/>
    </row>
    <row r="12" spans="1:12" x14ac:dyDescent="0.25">
      <c r="A12">
        <v>3</v>
      </c>
      <c r="B12" s="10" t="s">
        <v>142</v>
      </c>
      <c r="C12" s="1" t="s">
        <v>431</v>
      </c>
      <c r="D12" s="3">
        <f>2352+31383+18538</f>
        <v>52273</v>
      </c>
      <c r="E12" s="5">
        <f t="shared" si="0"/>
        <v>1.1514925930585348E-3</v>
      </c>
      <c r="F12" s="18" t="s">
        <v>195</v>
      </c>
      <c r="G12" s="18" t="s">
        <v>338</v>
      </c>
      <c r="H12" s="15"/>
      <c r="I12" s="15"/>
      <c r="J12" s="15"/>
      <c r="K12" s="15"/>
      <c r="L12" s="9" t="s">
        <v>427</v>
      </c>
    </row>
    <row r="13" spans="1:12" x14ac:dyDescent="0.25">
      <c r="A13">
        <v>4</v>
      </c>
      <c r="B13" s="1" t="s">
        <v>147</v>
      </c>
      <c r="C13" s="1" t="s">
        <v>239</v>
      </c>
      <c r="D13" s="3">
        <f>26913+25358</f>
        <v>52271</v>
      </c>
      <c r="E13" s="5">
        <f t="shared" si="0"/>
        <v>1.1514485361804885E-3</v>
      </c>
      <c r="F13" s="18" t="s">
        <v>340</v>
      </c>
      <c r="G13" s="18" t="s">
        <v>332</v>
      </c>
      <c r="H13" s="15"/>
      <c r="I13" s="15"/>
      <c r="J13" s="15"/>
      <c r="K13" s="15"/>
    </row>
    <row r="14" spans="1:12" x14ac:dyDescent="0.25">
      <c r="A14">
        <v>5</v>
      </c>
      <c r="B14" s="1" t="s">
        <v>72</v>
      </c>
      <c r="C14" s="1" t="s">
        <v>237</v>
      </c>
      <c r="D14" s="3">
        <f>21281+18261</f>
        <v>39542</v>
      </c>
      <c r="E14" s="5">
        <f t="shared" si="0"/>
        <v>8.710485358544676E-4</v>
      </c>
      <c r="F14" s="18" t="s">
        <v>195</v>
      </c>
      <c r="G14" s="18" t="s">
        <v>333</v>
      </c>
      <c r="H14" s="15"/>
      <c r="I14" s="15"/>
      <c r="J14" s="15"/>
      <c r="K14" s="15"/>
    </row>
    <row r="15" spans="1:12" x14ac:dyDescent="0.25">
      <c r="A15">
        <v>6</v>
      </c>
      <c r="B15" s="1" t="s">
        <v>73</v>
      </c>
      <c r="C15" s="1" t="s">
        <v>238</v>
      </c>
      <c r="D15" s="3">
        <f>16804+16631</f>
        <v>33435</v>
      </c>
      <c r="E15" s="5">
        <f t="shared" si="0"/>
        <v>7.3652085873992525E-4</v>
      </c>
      <c r="F15" s="18" t="s">
        <v>195</v>
      </c>
      <c r="G15" s="18" t="s">
        <v>334</v>
      </c>
      <c r="H15" s="15"/>
      <c r="I15" s="15"/>
      <c r="J15" s="15"/>
      <c r="K15" s="15"/>
    </row>
    <row r="16" spans="1:12" x14ac:dyDescent="0.25">
      <c r="A16">
        <v>7</v>
      </c>
      <c r="B16" s="1" t="s">
        <v>235</v>
      </c>
      <c r="C16" s="1" t="s">
        <v>241</v>
      </c>
      <c r="D16" s="3">
        <f>7069+17358</f>
        <v>24427</v>
      </c>
      <c r="E16" s="5">
        <f t="shared" si="0"/>
        <v>5.3808868001914629E-4</v>
      </c>
      <c r="F16" s="18" t="s">
        <v>195</v>
      </c>
      <c r="G16" s="18" t="s">
        <v>335</v>
      </c>
      <c r="H16" s="15"/>
      <c r="I16" s="15"/>
      <c r="J16" s="15"/>
      <c r="K16" s="15"/>
    </row>
    <row r="17" spans="1:12" x14ac:dyDescent="0.25">
      <c r="A17">
        <v>8</v>
      </c>
      <c r="B17" s="1" t="s">
        <v>236</v>
      </c>
      <c r="C17" s="1" t="s">
        <v>242</v>
      </c>
      <c r="D17" s="3">
        <f>10338+13138</f>
        <v>23476</v>
      </c>
      <c r="E17" s="5">
        <f t="shared" si="0"/>
        <v>5.1713963450810481E-4</v>
      </c>
      <c r="F17" s="18" t="s">
        <v>195</v>
      </c>
      <c r="G17" s="18" t="s">
        <v>336</v>
      </c>
      <c r="H17" s="15"/>
      <c r="I17" s="15"/>
      <c r="J17" s="15"/>
      <c r="K17" s="15"/>
    </row>
    <row r="18" spans="1:12" x14ac:dyDescent="0.25">
      <c r="A18">
        <v>9</v>
      </c>
      <c r="B18" s="1" t="s">
        <v>74</v>
      </c>
      <c r="C18" s="1" t="s">
        <v>243</v>
      </c>
      <c r="D18" s="3">
        <f>8444+10577</f>
        <v>19021</v>
      </c>
      <c r="E18" s="5">
        <f t="shared" si="0"/>
        <v>4.1900293865985099E-4</v>
      </c>
      <c r="F18" s="18" t="s">
        <v>341</v>
      </c>
      <c r="G18" s="18" t="s">
        <v>337</v>
      </c>
      <c r="H18" s="15"/>
      <c r="I18" s="15"/>
      <c r="J18" s="15"/>
      <c r="K18" s="15"/>
    </row>
    <row r="19" spans="1:12" x14ac:dyDescent="0.25">
      <c r="A19">
        <v>10</v>
      </c>
      <c r="B19" t="s">
        <v>281</v>
      </c>
      <c r="C19" t="s">
        <v>429</v>
      </c>
      <c r="D19" s="3">
        <v>3219</v>
      </c>
      <c r="E19" s="5">
        <f t="shared" si="0"/>
        <v>7.0909545215606977E-5</v>
      </c>
      <c r="F19" s="18" t="s">
        <v>435</v>
      </c>
      <c r="G19" s="18" t="s">
        <v>436</v>
      </c>
      <c r="H19" s="15"/>
      <c r="I19" s="15"/>
      <c r="J19" s="15"/>
      <c r="K19" s="15"/>
    </row>
    <row r="20" spans="1:12" x14ac:dyDescent="0.25">
      <c r="A20">
        <v>11</v>
      </c>
      <c r="B20" t="s">
        <v>271</v>
      </c>
      <c r="C20" t="s">
        <v>430</v>
      </c>
      <c r="D20" s="3">
        <v>3214</v>
      </c>
      <c r="E20" s="5">
        <f t="shared" si="0"/>
        <v>7.0799403020491096E-5</v>
      </c>
      <c r="F20" s="18" t="s">
        <v>195</v>
      </c>
      <c r="G20" s="18" t="s">
        <v>437</v>
      </c>
      <c r="H20" s="15"/>
      <c r="I20" s="15"/>
      <c r="J20" s="15"/>
      <c r="K20" s="15"/>
      <c r="L20" s="9" t="s">
        <v>438</v>
      </c>
    </row>
    <row r="23" spans="1:12" x14ac:dyDescent="0.25">
      <c r="A23" t="s">
        <v>434</v>
      </c>
    </row>
    <row r="24" spans="1:12" x14ac:dyDescent="0.25">
      <c r="B24" t="s">
        <v>298</v>
      </c>
      <c r="C24" t="s">
        <v>432</v>
      </c>
      <c r="D24">
        <f>5383+3402</f>
        <v>8785</v>
      </c>
    </row>
    <row r="25" spans="1:12" x14ac:dyDescent="0.25">
      <c r="B25" t="s">
        <v>302</v>
      </c>
      <c r="C25" t="s">
        <v>302</v>
      </c>
      <c r="D25">
        <v>3653</v>
      </c>
    </row>
    <row r="26" spans="1:12" x14ac:dyDescent="0.25">
      <c r="B26" s="1"/>
      <c r="C26" s="2"/>
    </row>
    <row r="27" spans="1:12" x14ac:dyDescent="0.25">
      <c r="B27" s="1"/>
      <c r="C27" s="2"/>
    </row>
    <row r="28" spans="1:12" x14ac:dyDescent="0.25">
      <c r="B28" s="1"/>
      <c r="C28" s="2"/>
    </row>
    <row r="29" spans="1:12" x14ac:dyDescent="0.25">
      <c r="B29" s="1"/>
      <c r="C29" s="2"/>
    </row>
    <row r="30" spans="1:12" x14ac:dyDescent="0.25">
      <c r="B30" s="1"/>
      <c r="C30" s="2"/>
    </row>
    <row r="31" spans="1:12" x14ac:dyDescent="0.25">
      <c r="B31" s="1"/>
      <c r="C31" s="2"/>
    </row>
    <row r="32" spans="1:12" x14ac:dyDescent="0.25">
      <c r="B32" s="1"/>
      <c r="C32" s="2"/>
    </row>
    <row r="33" spans="2:3" x14ac:dyDescent="0.25">
      <c r="B33" s="1"/>
      <c r="C33" s="2"/>
    </row>
    <row r="34" spans="2:3" x14ac:dyDescent="0.25">
      <c r="B34" s="1"/>
      <c r="C34" s="2"/>
    </row>
    <row r="35" spans="2:3" x14ac:dyDescent="0.25">
      <c r="B35" s="1"/>
      <c r="C35" s="2"/>
    </row>
    <row r="36" spans="2:3" x14ac:dyDescent="0.25">
      <c r="B36" s="1"/>
      <c r="C36" s="2"/>
    </row>
    <row r="37" spans="2:3" x14ac:dyDescent="0.25">
      <c r="B37" s="1"/>
      <c r="C37" s="2"/>
    </row>
    <row r="38" spans="2:3" x14ac:dyDescent="0.25">
      <c r="B38" s="1"/>
      <c r="C38" s="2"/>
    </row>
    <row r="39" spans="2:3" x14ac:dyDescent="0.25">
      <c r="B39" s="1"/>
      <c r="C39" s="2"/>
    </row>
    <row r="40" spans="2:3" x14ac:dyDescent="0.25">
      <c r="B40" s="1"/>
      <c r="C40" s="2"/>
    </row>
  </sheetData>
  <autoFilter ref="A9:M9">
    <sortState ref="A7:K20">
      <sortCondition descending="1" ref="E6"/>
    </sortState>
  </autoFilter>
  <mergeCells count="2">
    <mergeCell ref="H8:L8"/>
    <mergeCell ref="F8:G8"/>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Environment!D10:D23</xm:f>
              <xm:sqref>E7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Negations</vt:lpstr>
      <vt:lpstr>Freetext</vt:lpstr>
      <vt:lpstr>Procedure Flags</vt:lpstr>
      <vt:lpstr>Med Classes</vt:lpstr>
      <vt:lpstr>Med Ingredients</vt:lpstr>
      <vt:lpstr>Foods</vt:lpstr>
      <vt:lpstr>Vaccines</vt:lpstr>
      <vt:lpstr>Environment</vt:lpstr>
    </vt:vector>
  </TitlesOfParts>
  <Company>Cerner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McKnight</dc:creator>
  <cp:lastModifiedBy>Lawrence McKnight</cp:lastModifiedBy>
  <dcterms:created xsi:type="dcterms:W3CDTF">2015-11-06T01:04:38Z</dcterms:created>
  <dcterms:modified xsi:type="dcterms:W3CDTF">2016-01-11T14:31:29Z</dcterms:modified>
</cp:coreProperties>
</file>